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5.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6.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7.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8.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9.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10.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11.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12.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D:\Circulaire Peiler WSVV\"/>
    </mc:Choice>
  </mc:AlternateContent>
  <xr:revisionPtr revIDLastSave="0" documentId="13_ncr:1_{11276148-AD57-41E7-85E8-EFEB21AE06A5}" xr6:coauthVersionLast="47" xr6:coauthVersionMax="47" xr10:uidLastSave="{00000000-0000-0000-0000-000000000000}"/>
  <bookViews>
    <workbookView xWindow="-108" yWindow="-108" windowWidth="23256" windowHeight="12576" tabRatio="743" xr2:uid="{7C10C7B9-81FD-452B-9F5F-233FE83E7BC6}"/>
  </bookViews>
  <sheets>
    <sheet name="intro" sheetId="16" r:id="rId1"/>
    <sheet name="invoer Basis" sheetId="23" r:id="rId2"/>
    <sheet name="print Basis" sheetId="30" r:id="rId3"/>
    <sheet name="info vergelijk" sheetId="33" r:id="rId4"/>
    <sheet name="A1" sheetId="37" r:id="rId5"/>
    <sheet name="B1" sheetId="39" r:id="rId6"/>
    <sheet name="C1" sheetId="41" r:id="rId7"/>
    <sheet name="D1" sheetId="43" r:id="rId8"/>
    <sheet name="print A1" sheetId="38" r:id="rId9"/>
    <sheet name="print B1" sheetId="40" r:id="rId10"/>
    <sheet name="print C1" sheetId="42" r:id="rId11"/>
    <sheet name="print D1" sheetId="44" r:id="rId12"/>
    <sheet name="info weging" sheetId="14" r:id="rId13"/>
  </sheets>
  <definedNames>
    <definedName name="adaptatie">'info weging'!$A$114:$A$118</definedName>
    <definedName name="beheeronderhoud">'info weging'!$A$125:$A$129</definedName>
    <definedName name="circulariteit">'info weging'!$A$147:$A$151</definedName>
    <definedName name="co2berekening">'info weging'!$A$158:$A$162</definedName>
    <definedName name="herbruikbaarheid">'info weging'!$A$92:$A$96</definedName>
    <definedName name="levensduurverlenging">'info weging'!$A$48:$A$52</definedName>
    <definedName name="materialendatabank">'info weging'!$A$70:$A$74</definedName>
    <definedName name="materialenpaspoort">'info weging'!$A$103:$A$107</definedName>
    <definedName name="mki">'info weging'!$A$136:$A$140</definedName>
    <definedName name="mkiberekening">'info weging'!$A$136:$A$140</definedName>
    <definedName name="natuurlijkeprocessen">'info weging'!$A$81:$A$85</definedName>
    <definedName name="opgaveverkleining">'info weging'!$I$37:$I$41</definedName>
    <definedName name="opgverkleining">'info weging'!$A$37:$A$41</definedName>
    <definedName name="restwaardehergebruik">'info weging'!$A$59:$A$63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69" i="16" l="1"/>
  <c r="B168" i="16"/>
  <c r="B167" i="16"/>
  <c r="B166" i="16"/>
  <c r="B165" i="16"/>
  <c r="B164" i="16"/>
  <c r="B163" i="16"/>
  <c r="B162" i="16"/>
  <c r="B161" i="16"/>
  <c r="N8" i="41"/>
  <c r="G14" i="33" s="1"/>
  <c r="N6" i="41"/>
  <c r="N6" i="39"/>
  <c r="N8" i="43"/>
  <c r="H14" i="33" s="1"/>
  <c r="N8" i="37"/>
  <c r="E14" i="33" s="1"/>
  <c r="C12" i="33"/>
  <c r="B12" i="33"/>
  <c r="AD26" i="43"/>
  <c r="AD26" i="41"/>
  <c r="AD26" i="39"/>
  <c r="AD26" i="37"/>
  <c r="AD26" i="23"/>
  <c r="M12" i="41"/>
  <c r="M11" i="41"/>
  <c r="M10" i="41"/>
  <c r="M12" i="37"/>
  <c r="M11" i="37"/>
  <c r="M10" i="37"/>
  <c r="M12" i="23"/>
  <c r="M11" i="23"/>
  <c r="M10" i="23"/>
  <c r="M12" i="39"/>
  <c r="M11" i="39"/>
  <c r="M10" i="39"/>
  <c r="N8" i="39"/>
  <c r="F14" i="33" s="1"/>
  <c r="H28" i="14"/>
  <c r="E29" i="14" s="1"/>
  <c r="M22" i="43"/>
  <c r="M22" i="41"/>
  <c r="M22" i="39"/>
  <c r="M22" i="23"/>
  <c r="M22" i="37"/>
  <c r="D78" i="33"/>
  <c r="D73" i="33"/>
  <c r="D72" i="33"/>
  <c r="AI39" i="44"/>
  <c r="AI39" i="42"/>
  <c r="AI39" i="40"/>
  <c r="AI39" i="38"/>
  <c r="AI39" i="30"/>
  <c r="AL44" i="43"/>
  <c r="AP44" i="43" s="1"/>
  <c r="Q39" i="44" s="1"/>
  <c r="AL44" i="41"/>
  <c r="AN44" i="41" s="1"/>
  <c r="AL44" i="37"/>
  <c r="AP44" i="37" s="1"/>
  <c r="AQ44" i="37" s="1"/>
  <c r="AL44" i="39"/>
  <c r="AP44" i="39" s="1"/>
  <c r="AQ44" i="39" s="1"/>
  <c r="M44" i="43"/>
  <c r="M44" i="41"/>
  <c r="M44" i="39"/>
  <c r="M44" i="37"/>
  <c r="AL44" i="23"/>
  <c r="AP44" i="23" s="1"/>
  <c r="AQ44" i="23" s="1"/>
  <c r="M44" i="23"/>
  <c r="AL75" i="23"/>
  <c r="V43" i="23"/>
  <c r="W43" i="23"/>
  <c r="Y43" i="23"/>
  <c r="C3" i="30"/>
  <c r="AP52" i="39"/>
  <c r="D5" i="30"/>
  <c r="H56" i="33" l="1"/>
  <c r="F56" i="33"/>
  <c r="E56" i="33"/>
  <c r="D56" i="33"/>
  <c r="CAB36" i="43"/>
  <c r="CAB36" i="39"/>
  <c r="CAB36" i="37"/>
  <c r="AP44" i="41"/>
  <c r="G56" i="33" s="1"/>
  <c r="Q39" i="40"/>
  <c r="Q39" i="38"/>
  <c r="AN44" i="43"/>
  <c r="AN44" i="39"/>
  <c r="AN44" i="37"/>
  <c r="S39" i="30"/>
  <c r="AN44" i="23"/>
  <c r="CAB36" i="23"/>
  <c r="B5" i="33"/>
  <c r="B3" i="33"/>
  <c r="O5" i="33"/>
  <c r="O3" i="33"/>
  <c r="H90" i="33"/>
  <c r="G90" i="33"/>
  <c r="F90" i="33"/>
  <c r="E90" i="33"/>
  <c r="D90" i="33"/>
  <c r="H85" i="33"/>
  <c r="H84" i="33"/>
  <c r="G85" i="33"/>
  <c r="G84" i="33"/>
  <c r="F85" i="33"/>
  <c r="F84" i="33"/>
  <c r="E85" i="33"/>
  <c r="E84" i="33"/>
  <c r="D85" i="33"/>
  <c r="D84" i="33"/>
  <c r="H79" i="33"/>
  <c r="H78" i="33"/>
  <c r="G79" i="33"/>
  <c r="G78" i="33"/>
  <c r="F79" i="33"/>
  <c r="F78" i="33"/>
  <c r="E79" i="33"/>
  <c r="E78" i="33"/>
  <c r="D79" i="33"/>
  <c r="H73" i="33"/>
  <c r="H72" i="33"/>
  <c r="G73" i="33"/>
  <c r="G72" i="33"/>
  <c r="F73" i="33"/>
  <c r="F72" i="33"/>
  <c r="E73" i="33"/>
  <c r="E72" i="33"/>
  <c r="D14" i="33"/>
  <c r="D37" i="44"/>
  <c r="C37" i="44"/>
  <c r="D36" i="44"/>
  <c r="C36" i="44"/>
  <c r="D35" i="44"/>
  <c r="C35" i="44"/>
  <c r="D34" i="44"/>
  <c r="C34" i="44"/>
  <c r="D33" i="44"/>
  <c r="C33" i="44"/>
  <c r="D32" i="44"/>
  <c r="C32" i="44"/>
  <c r="D31" i="44"/>
  <c r="C31" i="44"/>
  <c r="D30" i="44"/>
  <c r="C30" i="44"/>
  <c r="D29" i="44"/>
  <c r="C29" i="44"/>
  <c r="D28" i="44"/>
  <c r="C28" i="44"/>
  <c r="D27" i="44"/>
  <c r="C27" i="44"/>
  <c r="D26" i="44"/>
  <c r="C26" i="44"/>
  <c r="D25" i="44"/>
  <c r="C25" i="44"/>
  <c r="D24" i="44"/>
  <c r="C24" i="44"/>
  <c r="D23" i="44"/>
  <c r="C23" i="44"/>
  <c r="D22" i="44"/>
  <c r="C22" i="44"/>
  <c r="D21" i="44"/>
  <c r="C21" i="44"/>
  <c r="D20" i="44"/>
  <c r="C20" i="44"/>
  <c r="D19" i="44"/>
  <c r="C19" i="44"/>
  <c r="D18" i="44"/>
  <c r="C18" i="44"/>
  <c r="G14" i="44"/>
  <c r="G13" i="44"/>
  <c r="H11" i="44"/>
  <c r="G11" i="44" s="1"/>
  <c r="G10" i="44"/>
  <c r="AL21" i="43" s="1"/>
  <c r="D5" i="44"/>
  <c r="C4" i="44"/>
  <c r="C3" i="44"/>
  <c r="K14" i="44"/>
  <c r="M76" i="43"/>
  <c r="AP75" i="43"/>
  <c r="AN75" i="43"/>
  <c r="AL75" i="43"/>
  <c r="M75" i="43"/>
  <c r="AL74" i="43"/>
  <c r="M72" i="43"/>
  <c r="AP71" i="43"/>
  <c r="AN71" i="43"/>
  <c r="AL71" i="43"/>
  <c r="M71" i="43"/>
  <c r="AL70" i="43"/>
  <c r="M68" i="43"/>
  <c r="AP67" i="43"/>
  <c r="AN67" i="43"/>
  <c r="AL67" i="43"/>
  <c r="M67" i="43"/>
  <c r="AL66" i="43"/>
  <c r="L65" i="43"/>
  <c r="BZI61" i="43"/>
  <c r="BZI60" i="43"/>
  <c r="N60" i="43"/>
  <c r="BZI59" i="43"/>
  <c r="N58" i="43" s="1"/>
  <c r="N59" i="43"/>
  <c r="BZI58" i="43"/>
  <c r="BZI57" i="43"/>
  <c r="N57" i="43"/>
  <c r="BZI56" i="43"/>
  <c r="N56" i="43"/>
  <c r="BZI55" i="43"/>
  <c r="N55" i="43"/>
  <c r="BZI54" i="43"/>
  <c r="N54" i="43"/>
  <c r="N53" i="43"/>
  <c r="L47" i="43"/>
  <c r="AP43" i="43"/>
  <c r="AO43" i="43"/>
  <c r="AN43" i="43"/>
  <c r="AM43" i="43"/>
  <c r="AL43" i="43"/>
  <c r="AK43" i="43"/>
  <c r="AJ43" i="43"/>
  <c r="AI43" i="43"/>
  <c r="AH43" i="43"/>
  <c r="AG43" i="43"/>
  <c r="AF43" i="43"/>
  <c r="AE43" i="43"/>
  <c r="AD43" i="43"/>
  <c r="AC43" i="43"/>
  <c r="AB43" i="43"/>
  <c r="AA43" i="43"/>
  <c r="Z43" i="43"/>
  <c r="Y43" i="43"/>
  <c r="W43" i="43"/>
  <c r="V43" i="43"/>
  <c r="AK42" i="43"/>
  <c r="AJ42" i="43"/>
  <c r="AI42" i="43"/>
  <c r="AH42" i="43"/>
  <c r="AG42" i="43"/>
  <c r="AF42" i="43"/>
  <c r="BZC35" i="43" s="1"/>
  <c r="BZL61" i="43" s="1"/>
  <c r="AE42" i="43"/>
  <c r="AD42" i="43"/>
  <c r="AC42" i="43"/>
  <c r="AB42" i="43"/>
  <c r="AA42" i="43"/>
  <c r="Z42" i="43"/>
  <c r="Y42" i="43"/>
  <c r="BZD35" i="43" s="1"/>
  <c r="X42" i="43"/>
  <c r="BYZ35" i="43" s="1"/>
  <c r="M42" i="43"/>
  <c r="AD41" i="43"/>
  <c r="BZX35" i="43" s="1"/>
  <c r="AC41" i="43"/>
  <c r="AB41" i="43"/>
  <c r="AA41" i="43"/>
  <c r="BZL35" i="43" s="1"/>
  <c r="Z41" i="43"/>
  <c r="Y41" i="43"/>
  <c r="X41" i="43"/>
  <c r="AK40" i="43"/>
  <c r="AJ40" i="43"/>
  <c r="AI40" i="43"/>
  <c r="AH40" i="43"/>
  <c r="AG40" i="43"/>
  <c r="AF40" i="43"/>
  <c r="AE40" i="43"/>
  <c r="AD40" i="43"/>
  <c r="AC40" i="43"/>
  <c r="AB40" i="43"/>
  <c r="AA40" i="43"/>
  <c r="Z40" i="43"/>
  <c r="Y40" i="43"/>
  <c r="X40" i="43"/>
  <c r="M40" i="43"/>
  <c r="G40" i="43"/>
  <c r="F40" i="43"/>
  <c r="E40" i="43"/>
  <c r="D40" i="43"/>
  <c r="C40" i="43"/>
  <c r="B40" i="43"/>
  <c r="AK39" i="43"/>
  <c r="AJ39" i="43"/>
  <c r="AI39" i="43"/>
  <c r="AH39" i="43"/>
  <c r="AG39" i="43"/>
  <c r="AF39" i="43"/>
  <c r="AE39" i="43"/>
  <c r="AD39" i="43"/>
  <c r="AC39" i="43"/>
  <c r="AB39" i="43"/>
  <c r="AA39" i="43"/>
  <c r="Z39" i="43"/>
  <c r="Y39" i="43"/>
  <c r="X39" i="43"/>
  <c r="M39" i="43"/>
  <c r="AD38" i="43"/>
  <c r="BZX34" i="43" s="1"/>
  <c r="AC38" i="43"/>
  <c r="AB38" i="43"/>
  <c r="AA38" i="43"/>
  <c r="Z38" i="43"/>
  <c r="BZH34" i="43" s="1"/>
  <c r="Y38" i="43"/>
  <c r="X38" i="43"/>
  <c r="CAA38" i="43"/>
  <c r="BZP37" i="43"/>
  <c r="AK37" i="43"/>
  <c r="AJ37" i="43"/>
  <c r="AI37" i="43"/>
  <c r="AH37" i="43"/>
  <c r="AG37" i="43"/>
  <c r="AF37" i="43"/>
  <c r="BZC32" i="43" s="1"/>
  <c r="BZL59" i="43" s="1"/>
  <c r="AE37" i="43"/>
  <c r="AD37" i="43"/>
  <c r="AC37" i="43"/>
  <c r="AB37" i="43"/>
  <c r="AA37" i="43"/>
  <c r="Z37" i="43"/>
  <c r="Y37" i="43"/>
  <c r="X37" i="43"/>
  <c r="M37" i="43"/>
  <c r="CAA37" i="43"/>
  <c r="AD36" i="43"/>
  <c r="AC36" i="43"/>
  <c r="AB36" i="43"/>
  <c r="AA36" i="43"/>
  <c r="BZL32" i="43" s="1"/>
  <c r="Z36" i="43"/>
  <c r="Y36" i="43"/>
  <c r="X36" i="43"/>
  <c r="CAA35" i="43"/>
  <c r="BZT35" i="43"/>
  <c r="BZP35" i="43"/>
  <c r="AK35" i="43"/>
  <c r="BZW31" i="43" s="1"/>
  <c r="BZQ58" i="43" s="1"/>
  <c r="AJ35" i="43"/>
  <c r="AI35" i="43"/>
  <c r="AH35" i="43"/>
  <c r="AG35" i="43"/>
  <c r="AF35" i="43"/>
  <c r="AE35" i="43"/>
  <c r="AD35" i="43"/>
  <c r="AC35" i="43"/>
  <c r="AB35" i="43"/>
  <c r="AA35" i="43"/>
  <c r="Z35" i="43"/>
  <c r="Y35" i="43"/>
  <c r="X35" i="43"/>
  <c r="M35" i="43"/>
  <c r="CAA34" i="43"/>
  <c r="BZP34" i="43"/>
  <c r="AD34" i="43"/>
  <c r="AC34" i="43"/>
  <c r="BZT31" i="43" s="1"/>
  <c r="AB34" i="43"/>
  <c r="AA34" i="43"/>
  <c r="Z34" i="43"/>
  <c r="Y34" i="43"/>
  <c r="X34" i="43"/>
  <c r="BYZ31" i="43" s="1"/>
  <c r="CAA33" i="43"/>
  <c r="BZP33" i="43"/>
  <c r="BYZ33" i="43"/>
  <c r="AK33" i="43"/>
  <c r="AJ33" i="43"/>
  <c r="AI33" i="43"/>
  <c r="AH33" i="43"/>
  <c r="AG33" i="43"/>
  <c r="AF33" i="43"/>
  <c r="AE33" i="43"/>
  <c r="AD33" i="43"/>
  <c r="AC33" i="43"/>
  <c r="AB33" i="43"/>
  <c r="AA33" i="43"/>
  <c r="Z33" i="43"/>
  <c r="Y33" i="43"/>
  <c r="X33" i="43"/>
  <c r="M33" i="43"/>
  <c r="CAA32" i="43"/>
  <c r="BZP32" i="43"/>
  <c r="BZD32" i="43"/>
  <c r="AK32" i="43"/>
  <c r="AJ32" i="43"/>
  <c r="AI32" i="43"/>
  <c r="AH32" i="43"/>
  <c r="AG32" i="43"/>
  <c r="AF32" i="43"/>
  <c r="AE32" i="43"/>
  <c r="AD32" i="43"/>
  <c r="AC32" i="43"/>
  <c r="AB32" i="43"/>
  <c r="AA32" i="43"/>
  <c r="Z32" i="43"/>
  <c r="Y32" i="43"/>
  <c r="X32" i="43"/>
  <c r="M32" i="43"/>
  <c r="G32" i="43"/>
  <c r="F32" i="43"/>
  <c r="D32" i="43"/>
  <c r="D22" i="43" s="1"/>
  <c r="C32" i="43"/>
  <c r="B32" i="43"/>
  <c r="CAA31" i="43"/>
  <c r="BZP31" i="43"/>
  <c r="AD31" i="43"/>
  <c r="AC31" i="43"/>
  <c r="AB31" i="43"/>
  <c r="AA31" i="43"/>
  <c r="BZL29" i="43" s="1"/>
  <c r="Z31" i="43"/>
  <c r="Y31" i="43"/>
  <c r="X31" i="43"/>
  <c r="BYZ29" i="43" s="1"/>
  <c r="CAA30" i="43"/>
  <c r="BZP30" i="43"/>
  <c r="AK30" i="43"/>
  <c r="AJ30" i="43"/>
  <c r="AI30" i="43"/>
  <c r="AH30" i="43"/>
  <c r="AG30" i="43"/>
  <c r="AF30" i="43"/>
  <c r="AE30" i="43"/>
  <c r="AD30" i="43"/>
  <c r="AC30" i="43"/>
  <c r="AB30" i="43"/>
  <c r="AA30" i="43"/>
  <c r="Z30" i="43"/>
  <c r="Y30" i="43"/>
  <c r="X30" i="43"/>
  <c r="M30" i="43"/>
  <c r="CAA29" i="43"/>
  <c r="BZP29" i="43"/>
  <c r="AK29" i="43"/>
  <c r="AJ29" i="43"/>
  <c r="AI29" i="43"/>
  <c r="AH29" i="43"/>
  <c r="AG29" i="43"/>
  <c r="AF29" i="43"/>
  <c r="AE29" i="43"/>
  <c r="AD29" i="43"/>
  <c r="AC29" i="43"/>
  <c r="AB29" i="43"/>
  <c r="AA29" i="43"/>
  <c r="Z29" i="43"/>
  <c r="Y29" i="43"/>
  <c r="X29" i="43"/>
  <c r="M29" i="43"/>
  <c r="CAA28" i="43"/>
  <c r="BZP28" i="43"/>
  <c r="AK28" i="43"/>
  <c r="AJ28" i="43"/>
  <c r="AI28" i="43"/>
  <c r="AH28" i="43"/>
  <c r="AG28" i="43"/>
  <c r="AF28" i="43"/>
  <c r="AE28" i="43"/>
  <c r="AD28" i="43"/>
  <c r="AC28" i="43"/>
  <c r="BZT26" i="43" s="1"/>
  <c r="AB28" i="43"/>
  <c r="AA28" i="43"/>
  <c r="BZL26" i="43" s="1"/>
  <c r="Z28" i="43"/>
  <c r="Y28" i="43"/>
  <c r="X28" i="43"/>
  <c r="M28" i="43"/>
  <c r="CAA27" i="43"/>
  <c r="BZP27" i="43"/>
  <c r="AD27" i="43"/>
  <c r="BZX27" i="43" s="1"/>
  <c r="AC27" i="43"/>
  <c r="BZT27" i="43" s="1"/>
  <c r="AB27" i="43"/>
  <c r="AA27" i="43"/>
  <c r="BZL28" i="43" s="1"/>
  <c r="Z27" i="43"/>
  <c r="Y27" i="43"/>
  <c r="BZD28" i="43" s="1"/>
  <c r="X27" i="43"/>
  <c r="CAA26" i="43"/>
  <c r="BZP26" i="43"/>
  <c r="AK26" i="43"/>
  <c r="AJ26" i="43"/>
  <c r="AI26" i="43"/>
  <c r="BZO25" i="43" s="1"/>
  <c r="BZO55" i="43" s="1"/>
  <c r="AH26" i="43"/>
  <c r="AG26" i="43"/>
  <c r="AF26" i="43"/>
  <c r="AE26" i="43"/>
  <c r="AC26" i="43"/>
  <c r="AB26" i="43"/>
  <c r="AA26" i="43"/>
  <c r="BZL25" i="43" s="1"/>
  <c r="Z26" i="43"/>
  <c r="Y26" i="43"/>
  <c r="X26" i="43"/>
  <c r="M26" i="43"/>
  <c r="CAA25" i="43"/>
  <c r="BZP25" i="43"/>
  <c r="AD25" i="43"/>
  <c r="AC25" i="43"/>
  <c r="AB25" i="43"/>
  <c r="AA25" i="43"/>
  <c r="Z25" i="43"/>
  <c r="Y25" i="43"/>
  <c r="X25" i="43"/>
  <c r="CAA24" i="43"/>
  <c r="BZP24" i="43"/>
  <c r="AK24" i="43"/>
  <c r="AJ24" i="43"/>
  <c r="AI24" i="43"/>
  <c r="AH24" i="43"/>
  <c r="AG24" i="43"/>
  <c r="AF24" i="43"/>
  <c r="AE24" i="43"/>
  <c r="AD24" i="43"/>
  <c r="AC24" i="43"/>
  <c r="AB24" i="43"/>
  <c r="AA24" i="43"/>
  <c r="Z24" i="43"/>
  <c r="Y24" i="43"/>
  <c r="X24" i="43"/>
  <c r="BYZ24" i="43" s="1"/>
  <c r="M24" i="43"/>
  <c r="CAB23" i="43"/>
  <c r="BZV23" i="43"/>
  <c r="AD23" i="43"/>
  <c r="AC23" i="43"/>
  <c r="AB23" i="43"/>
  <c r="AA23" i="43"/>
  <c r="Z23" i="43"/>
  <c r="Y23" i="43"/>
  <c r="X23" i="43"/>
  <c r="G22" i="43"/>
  <c r="F22" i="43"/>
  <c r="E22" i="43"/>
  <c r="C22" i="43"/>
  <c r="B22" i="43"/>
  <c r="N21" i="43"/>
  <c r="G21" i="43"/>
  <c r="F21" i="43"/>
  <c r="E21" i="43"/>
  <c r="D21" i="43"/>
  <c r="C21" i="43"/>
  <c r="B21" i="43"/>
  <c r="M12" i="43"/>
  <c r="M11" i="43"/>
  <c r="M10" i="43"/>
  <c r="N9" i="43"/>
  <c r="M7" i="43"/>
  <c r="N6" i="43"/>
  <c r="M6" i="43" s="1"/>
  <c r="N5" i="43"/>
  <c r="M5" i="43" s="1"/>
  <c r="N4" i="43"/>
  <c r="G8" i="44" s="1"/>
  <c r="D37" i="42"/>
  <c r="C37" i="42"/>
  <c r="D36" i="42"/>
  <c r="C36" i="42"/>
  <c r="D35" i="42"/>
  <c r="C35" i="42"/>
  <c r="D34" i="42"/>
  <c r="C34" i="42"/>
  <c r="D33" i="42"/>
  <c r="C33" i="42"/>
  <c r="D32" i="42"/>
  <c r="C32" i="42"/>
  <c r="D31" i="42"/>
  <c r="C31" i="42"/>
  <c r="D30" i="42"/>
  <c r="C30" i="42"/>
  <c r="D29" i="42"/>
  <c r="C29" i="42"/>
  <c r="D28" i="42"/>
  <c r="C28" i="42"/>
  <c r="D27" i="42"/>
  <c r="C27" i="42"/>
  <c r="D26" i="42"/>
  <c r="C26" i="42"/>
  <c r="D25" i="42"/>
  <c r="C25" i="42"/>
  <c r="D24" i="42"/>
  <c r="C24" i="42"/>
  <c r="D23" i="42"/>
  <c r="C23" i="42"/>
  <c r="D22" i="42"/>
  <c r="C22" i="42"/>
  <c r="D21" i="42"/>
  <c r="C21" i="42"/>
  <c r="D20" i="42"/>
  <c r="C20" i="42"/>
  <c r="D19" i="42"/>
  <c r="C19" i="42"/>
  <c r="D18" i="42"/>
  <c r="C18" i="42"/>
  <c r="G14" i="42"/>
  <c r="G13" i="42"/>
  <c r="H11" i="42"/>
  <c r="G11" i="42" s="1"/>
  <c r="G10" i="42"/>
  <c r="AL21" i="41" s="1"/>
  <c r="D5" i="42"/>
  <c r="C4" i="42"/>
  <c r="C3" i="42"/>
  <c r="K14" i="42"/>
  <c r="M76" i="41"/>
  <c r="AP75" i="41"/>
  <c r="AN75" i="41"/>
  <c r="AL75" i="41"/>
  <c r="M75" i="41"/>
  <c r="AL74" i="41"/>
  <c r="M72" i="41"/>
  <c r="AP71" i="41"/>
  <c r="AN71" i="41"/>
  <c r="AL71" i="41"/>
  <c r="M71" i="41"/>
  <c r="AL70" i="41"/>
  <c r="M68" i="41"/>
  <c r="AP67" i="41"/>
  <c r="AN67" i="41"/>
  <c r="AL67" i="41"/>
  <c r="M67" i="41"/>
  <c r="AL66" i="41"/>
  <c r="L65" i="41"/>
  <c r="BZI61" i="41"/>
  <c r="BZI60" i="41"/>
  <c r="N60" i="41"/>
  <c r="BZI59" i="41"/>
  <c r="N59" i="41"/>
  <c r="BZI58" i="41"/>
  <c r="N57" i="41" s="1"/>
  <c r="N58" i="41"/>
  <c r="BZI57" i="41"/>
  <c r="BZI56" i="41"/>
  <c r="N56" i="41"/>
  <c r="BZI55" i="41"/>
  <c r="N55" i="41"/>
  <c r="Z43" i="41" s="1"/>
  <c r="BZI54" i="41"/>
  <c r="N54" i="41"/>
  <c r="N53" i="41"/>
  <c r="L47" i="41"/>
  <c r="AP43" i="41"/>
  <c r="AO43" i="41"/>
  <c r="AN43" i="41"/>
  <c r="AM43" i="41"/>
  <c r="AL43" i="41"/>
  <c r="AK43" i="41"/>
  <c r="AJ43" i="41"/>
  <c r="AI43" i="41"/>
  <c r="AH43" i="41"/>
  <c r="AG43" i="41"/>
  <c r="AF43" i="41"/>
  <c r="AE43" i="41"/>
  <c r="AD43" i="41"/>
  <c r="AC43" i="41"/>
  <c r="AB43" i="41"/>
  <c r="AA43" i="41"/>
  <c r="Y43" i="41"/>
  <c r="W43" i="41"/>
  <c r="V43" i="41"/>
  <c r="AK42" i="41"/>
  <c r="AJ42" i="41"/>
  <c r="AI42" i="41"/>
  <c r="AH42" i="41"/>
  <c r="AG42" i="41"/>
  <c r="AF42" i="41"/>
  <c r="AE42" i="41"/>
  <c r="AD42" i="41"/>
  <c r="AC42" i="41"/>
  <c r="AB42" i="41"/>
  <c r="AA42" i="41"/>
  <c r="Z42" i="41"/>
  <c r="Y42" i="41"/>
  <c r="X42" i="41"/>
  <c r="BYZ35" i="41" s="1"/>
  <c r="M42" i="41"/>
  <c r="AD41" i="41"/>
  <c r="AC41" i="41"/>
  <c r="AB41" i="41"/>
  <c r="AA41" i="41"/>
  <c r="Z41" i="41"/>
  <c r="Y41" i="41"/>
  <c r="X41" i="41"/>
  <c r="AK40" i="41"/>
  <c r="AJ40" i="41"/>
  <c r="AI40" i="41"/>
  <c r="AH40" i="41"/>
  <c r="AG40" i="41"/>
  <c r="AF40" i="41"/>
  <c r="AE40" i="41"/>
  <c r="AD40" i="41"/>
  <c r="AC40" i="41"/>
  <c r="AB40" i="41"/>
  <c r="AA40" i="41"/>
  <c r="Z40" i="41"/>
  <c r="Y40" i="41"/>
  <c r="X40" i="41"/>
  <c r="M40" i="41"/>
  <c r="G40" i="41"/>
  <c r="F40" i="41"/>
  <c r="E40" i="41"/>
  <c r="D40" i="41"/>
  <c r="C40" i="41"/>
  <c r="B40" i="41"/>
  <c r="AK39" i="41"/>
  <c r="AJ39" i="41"/>
  <c r="AI39" i="41"/>
  <c r="AH39" i="41"/>
  <c r="AG39" i="41"/>
  <c r="AF39" i="41"/>
  <c r="AE39" i="41"/>
  <c r="AD39" i="41"/>
  <c r="AC39" i="41"/>
  <c r="AB39" i="41"/>
  <c r="AA39" i="41"/>
  <c r="Z39" i="41"/>
  <c r="Y39" i="41"/>
  <c r="X39" i="41"/>
  <c r="M39" i="41"/>
  <c r="AD38" i="41"/>
  <c r="AC38" i="41"/>
  <c r="BZT34" i="41" s="1"/>
  <c r="AB38" i="41"/>
  <c r="AA38" i="41"/>
  <c r="Z38" i="41"/>
  <c r="Y38" i="41"/>
  <c r="X38" i="41"/>
  <c r="CAA38" i="41"/>
  <c r="BZP37" i="41"/>
  <c r="AK37" i="41"/>
  <c r="AJ37" i="41"/>
  <c r="AI37" i="41"/>
  <c r="AH37" i="41"/>
  <c r="AG37" i="41"/>
  <c r="AF37" i="41"/>
  <c r="AE37" i="41"/>
  <c r="AD37" i="41"/>
  <c r="AC37" i="41"/>
  <c r="AB37" i="41"/>
  <c r="AA37" i="41"/>
  <c r="Z37" i="41"/>
  <c r="Y37" i="41"/>
  <c r="X37" i="41"/>
  <c r="M37" i="41"/>
  <c r="CAA37" i="41"/>
  <c r="AD36" i="41"/>
  <c r="AC36" i="41"/>
  <c r="AB36" i="41"/>
  <c r="AA36" i="41"/>
  <c r="Z36" i="41"/>
  <c r="BZH32" i="41" s="1"/>
  <c r="Y36" i="41"/>
  <c r="X36" i="41"/>
  <c r="CAA35" i="41"/>
  <c r="BZT35" i="41"/>
  <c r="BZP35" i="41"/>
  <c r="AK35" i="41"/>
  <c r="AJ35" i="41"/>
  <c r="AI35" i="41"/>
  <c r="AH35" i="41"/>
  <c r="AG35" i="41"/>
  <c r="AF35" i="41"/>
  <c r="AE35" i="41"/>
  <c r="AD35" i="41"/>
  <c r="AC35" i="41"/>
  <c r="AB35" i="41"/>
  <c r="AA35" i="41"/>
  <c r="Z35" i="41"/>
  <c r="Y35" i="41"/>
  <c r="X35" i="41"/>
  <c r="M35" i="41"/>
  <c r="CAA34" i="41"/>
  <c r="BZP34" i="41"/>
  <c r="AD34" i="41"/>
  <c r="AC34" i="41"/>
  <c r="AB34" i="41"/>
  <c r="AA34" i="41"/>
  <c r="Z34" i="41"/>
  <c r="Y34" i="41"/>
  <c r="X34" i="41"/>
  <c r="CAA33" i="41"/>
  <c r="BZP33" i="41"/>
  <c r="BZH33" i="41"/>
  <c r="AK33" i="41"/>
  <c r="AJ33" i="41"/>
  <c r="AI33" i="41"/>
  <c r="AH33" i="41"/>
  <c r="AG33" i="41"/>
  <c r="AF33" i="41"/>
  <c r="AE33" i="41"/>
  <c r="AD33" i="41"/>
  <c r="AC33" i="41"/>
  <c r="AB33" i="41"/>
  <c r="AA33" i="41"/>
  <c r="Z33" i="41"/>
  <c r="BZH30" i="41" s="1"/>
  <c r="Y33" i="41"/>
  <c r="X33" i="41"/>
  <c r="BYZ30" i="41" s="1"/>
  <c r="M33" i="41"/>
  <c r="CAA32" i="41"/>
  <c r="BZP32" i="41"/>
  <c r="AK32" i="41"/>
  <c r="AJ32" i="41"/>
  <c r="AI32" i="41"/>
  <c r="AH32" i="41"/>
  <c r="AG32" i="41"/>
  <c r="AF32" i="41"/>
  <c r="AE32" i="41"/>
  <c r="AD32" i="41"/>
  <c r="AC32" i="41"/>
  <c r="AB32" i="41"/>
  <c r="AA32" i="41"/>
  <c r="BZL29" i="41" s="1"/>
  <c r="Z32" i="41"/>
  <c r="Y32" i="41"/>
  <c r="X32" i="41"/>
  <c r="M32" i="41"/>
  <c r="G32" i="41"/>
  <c r="BZP29" i="41" s="1"/>
  <c r="F32" i="41"/>
  <c r="F22" i="41" s="1"/>
  <c r="D32" i="41"/>
  <c r="C32" i="41"/>
  <c r="B32" i="41"/>
  <c r="CAA31" i="41"/>
  <c r="BZP31" i="41"/>
  <c r="BZD31" i="41"/>
  <c r="AD31" i="41"/>
  <c r="BZX30" i="41" s="1"/>
  <c r="AC31" i="41"/>
  <c r="AB31" i="41"/>
  <c r="AA31" i="41"/>
  <c r="Z31" i="41"/>
  <c r="Y31" i="41"/>
  <c r="BZD29" i="41" s="1"/>
  <c r="X31" i="41"/>
  <c r="CAA30" i="41"/>
  <c r="BZT30" i="41"/>
  <c r="BZP30" i="41"/>
  <c r="AK30" i="41"/>
  <c r="AJ30" i="41"/>
  <c r="AI30" i="41"/>
  <c r="AH30" i="41"/>
  <c r="AG30" i="41"/>
  <c r="AF30" i="41"/>
  <c r="AE30" i="41"/>
  <c r="AD30" i="41"/>
  <c r="AC30" i="41"/>
  <c r="AB30" i="41"/>
  <c r="AA30" i="41"/>
  <c r="Z30" i="41"/>
  <c r="Y30" i="41"/>
  <c r="X30" i="41"/>
  <c r="M30" i="41"/>
  <c r="CAA29" i="41"/>
  <c r="AK29" i="41"/>
  <c r="AJ29" i="41"/>
  <c r="AI29" i="41"/>
  <c r="AH29" i="41"/>
  <c r="AG29" i="41"/>
  <c r="AF29" i="41"/>
  <c r="AE29" i="41"/>
  <c r="AD29" i="41"/>
  <c r="AC29" i="41"/>
  <c r="AB29" i="41"/>
  <c r="AA29" i="41"/>
  <c r="Z29" i="41"/>
  <c r="Y29" i="41"/>
  <c r="X29" i="41"/>
  <c r="M29" i="41"/>
  <c r="CAA28" i="41"/>
  <c r="BZP28" i="41"/>
  <c r="AK28" i="41"/>
  <c r="AJ28" i="41"/>
  <c r="AI28" i="41"/>
  <c r="AH28" i="41"/>
  <c r="AG28" i="41"/>
  <c r="AF28" i="41"/>
  <c r="AE28" i="41"/>
  <c r="AD28" i="41"/>
  <c r="AC28" i="41"/>
  <c r="BZT26" i="41" s="1"/>
  <c r="AB28" i="41"/>
  <c r="AA28" i="41"/>
  <c r="Z28" i="41"/>
  <c r="BZH26" i="41" s="1"/>
  <c r="Y28" i="41"/>
  <c r="X28" i="41"/>
  <c r="M28" i="41"/>
  <c r="CAA27" i="41"/>
  <c r="BZP27" i="41"/>
  <c r="AD27" i="41"/>
  <c r="AC27" i="41"/>
  <c r="AB27" i="41"/>
  <c r="AA27" i="41"/>
  <c r="Z27" i="41"/>
  <c r="Y27" i="41"/>
  <c r="BZD27" i="41" s="1"/>
  <c r="X27" i="41"/>
  <c r="CAA26" i="41"/>
  <c r="BZP26" i="41"/>
  <c r="AK26" i="41"/>
  <c r="AJ26" i="41"/>
  <c r="AI26" i="41"/>
  <c r="AH26" i="41"/>
  <c r="AG26" i="41"/>
  <c r="AF26" i="41"/>
  <c r="AE26" i="41"/>
  <c r="AC26" i="41"/>
  <c r="AB26" i="41"/>
  <c r="AA26" i="41"/>
  <c r="Z26" i="41"/>
  <c r="Y26" i="41"/>
  <c r="X26" i="41"/>
  <c r="M26" i="41"/>
  <c r="CAA25" i="41"/>
  <c r="BZP25" i="41"/>
  <c r="AD25" i="41"/>
  <c r="AC25" i="41"/>
  <c r="AB25" i="41"/>
  <c r="AA25" i="41"/>
  <c r="Z25" i="41"/>
  <c r="Y25" i="41"/>
  <c r="X25" i="41"/>
  <c r="CAA24" i="41"/>
  <c r="BZP24" i="41"/>
  <c r="AK24" i="41"/>
  <c r="AJ24" i="41"/>
  <c r="AI24" i="41"/>
  <c r="AH24" i="41"/>
  <c r="AG24" i="41"/>
  <c r="AF24" i="41"/>
  <c r="AE24" i="41"/>
  <c r="AD24" i="41"/>
  <c r="AC24" i="41"/>
  <c r="AB24" i="41"/>
  <c r="AA24" i="41"/>
  <c r="Z24" i="41"/>
  <c r="Y24" i="41"/>
  <c r="X24" i="41"/>
  <c r="M24" i="41"/>
  <c r="CAB23" i="41"/>
  <c r="BZV23" i="41"/>
  <c r="AD23" i="41"/>
  <c r="AC23" i="41"/>
  <c r="AB23" i="41"/>
  <c r="AA23" i="41"/>
  <c r="Z23" i="41"/>
  <c r="Y23" i="41"/>
  <c r="X23" i="41"/>
  <c r="G22" i="41"/>
  <c r="E22" i="41"/>
  <c r="D22" i="41"/>
  <c r="C22" i="41"/>
  <c r="B22" i="41"/>
  <c r="N21" i="41"/>
  <c r="G21" i="41"/>
  <c r="F21" i="41"/>
  <c r="E21" i="41"/>
  <c r="D21" i="41"/>
  <c r="C21" i="41"/>
  <c r="B21" i="41"/>
  <c r="N9" i="41"/>
  <c r="M7" i="41"/>
  <c r="M6" i="41"/>
  <c r="N5" i="41"/>
  <c r="M5" i="41" s="1"/>
  <c r="N4" i="41"/>
  <c r="M4" i="41" s="1"/>
  <c r="D37" i="40"/>
  <c r="C37" i="40"/>
  <c r="D36" i="40"/>
  <c r="C36" i="40"/>
  <c r="D35" i="40"/>
  <c r="C35" i="40"/>
  <c r="D34" i="40"/>
  <c r="C34" i="40"/>
  <c r="D33" i="40"/>
  <c r="C33" i="40"/>
  <c r="D32" i="40"/>
  <c r="C32" i="40"/>
  <c r="D31" i="40"/>
  <c r="C31" i="40"/>
  <c r="D30" i="40"/>
  <c r="C30" i="40"/>
  <c r="D29" i="40"/>
  <c r="C29" i="40"/>
  <c r="D28" i="40"/>
  <c r="C28" i="40"/>
  <c r="D27" i="40"/>
  <c r="C27" i="40"/>
  <c r="D26" i="40"/>
  <c r="C26" i="40"/>
  <c r="D25" i="40"/>
  <c r="C25" i="40"/>
  <c r="D24" i="40"/>
  <c r="C24" i="40"/>
  <c r="D23" i="40"/>
  <c r="C23" i="40"/>
  <c r="D22" i="40"/>
  <c r="C22" i="40"/>
  <c r="D21" i="40"/>
  <c r="C21" i="40"/>
  <c r="D20" i="40"/>
  <c r="C20" i="40"/>
  <c r="D19" i="40"/>
  <c r="C19" i="40"/>
  <c r="D18" i="40"/>
  <c r="C18" i="40"/>
  <c r="G14" i="40"/>
  <c r="G13" i="40"/>
  <c r="H11" i="40"/>
  <c r="G11" i="40" s="1"/>
  <c r="G10" i="40"/>
  <c r="AL21" i="39" s="1"/>
  <c r="D5" i="40"/>
  <c r="C4" i="40"/>
  <c r="C3" i="40"/>
  <c r="K14" i="40"/>
  <c r="M76" i="39"/>
  <c r="AP75" i="39"/>
  <c r="AN75" i="39"/>
  <c r="AL75" i="39"/>
  <c r="M75" i="39"/>
  <c r="AL74" i="39"/>
  <c r="M72" i="39"/>
  <c r="AP71" i="39"/>
  <c r="AN71" i="39"/>
  <c r="AL71" i="39"/>
  <c r="M71" i="39"/>
  <c r="AL70" i="39"/>
  <c r="M68" i="39"/>
  <c r="AP67" i="39"/>
  <c r="AN67" i="39"/>
  <c r="AL67" i="39"/>
  <c r="M67" i="39"/>
  <c r="AL66" i="39"/>
  <c r="L65" i="39"/>
  <c r="BZI61" i="39"/>
  <c r="BZI60" i="39"/>
  <c r="N60" i="39"/>
  <c r="BZI59" i="39"/>
  <c r="N59" i="39"/>
  <c r="BZI58" i="39"/>
  <c r="N58" i="39"/>
  <c r="BZI57" i="39"/>
  <c r="N57" i="39"/>
  <c r="BZI56" i="39"/>
  <c r="N56" i="39"/>
  <c r="BZI55" i="39"/>
  <c r="N55" i="39"/>
  <c r="Z43" i="39" s="1"/>
  <c r="BZI54" i="39"/>
  <c r="N53" i="39" s="1"/>
  <c r="N54" i="39"/>
  <c r="L47" i="39"/>
  <c r="AP43" i="39"/>
  <c r="AO43" i="39"/>
  <c r="AN43" i="39"/>
  <c r="AM43" i="39"/>
  <c r="AL43" i="39"/>
  <c r="AK43" i="39"/>
  <c r="AJ43" i="39"/>
  <c r="AI43" i="39"/>
  <c r="AH43" i="39"/>
  <c r="AG43" i="39"/>
  <c r="AF43" i="39"/>
  <c r="AE43" i="39"/>
  <c r="AD43" i="39"/>
  <c r="AC43" i="39"/>
  <c r="AB43" i="39"/>
  <c r="AA43" i="39"/>
  <c r="Y43" i="39"/>
  <c r="W43" i="39"/>
  <c r="V43" i="39"/>
  <c r="AK42" i="39"/>
  <c r="AJ42" i="39"/>
  <c r="AI42" i="39"/>
  <c r="AH42" i="39"/>
  <c r="AG42" i="39"/>
  <c r="AF42" i="39"/>
  <c r="AE42" i="39"/>
  <c r="AD42" i="39"/>
  <c r="AC42" i="39"/>
  <c r="AB42" i="39"/>
  <c r="AA42" i="39"/>
  <c r="Z42" i="39"/>
  <c r="Y42" i="39"/>
  <c r="X42" i="39"/>
  <c r="M42" i="39"/>
  <c r="AD41" i="39"/>
  <c r="AC41" i="39"/>
  <c r="AB41" i="39"/>
  <c r="AA41" i="39"/>
  <c r="Z41" i="39"/>
  <c r="BZH35" i="39" s="1"/>
  <c r="Y41" i="39"/>
  <c r="X41" i="39"/>
  <c r="AK40" i="39"/>
  <c r="AJ40" i="39"/>
  <c r="AI40" i="39"/>
  <c r="AH40" i="39"/>
  <c r="AG40" i="39"/>
  <c r="AF40" i="39"/>
  <c r="AE40" i="39"/>
  <c r="AD40" i="39"/>
  <c r="AC40" i="39"/>
  <c r="AB40" i="39"/>
  <c r="AA40" i="39"/>
  <c r="Z40" i="39"/>
  <c r="Y40" i="39"/>
  <c r="X40" i="39"/>
  <c r="M40" i="39"/>
  <c r="G40" i="39"/>
  <c r="F40" i="39"/>
  <c r="E40" i="39"/>
  <c r="D40" i="39"/>
  <c r="C40" i="39"/>
  <c r="B40" i="39"/>
  <c r="AK39" i="39"/>
  <c r="AJ39" i="39"/>
  <c r="AI39" i="39"/>
  <c r="AH39" i="39"/>
  <c r="AG39" i="39"/>
  <c r="AF39" i="39"/>
  <c r="AE39" i="39"/>
  <c r="AD39" i="39"/>
  <c r="AC39" i="39"/>
  <c r="AB39" i="39"/>
  <c r="AA39" i="39"/>
  <c r="Z39" i="39"/>
  <c r="Y39" i="39"/>
  <c r="X39" i="39"/>
  <c r="M39" i="39"/>
  <c r="AD38" i="39"/>
  <c r="AC38" i="39"/>
  <c r="AB38" i="39"/>
  <c r="AA38" i="39"/>
  <c r="BZL33" i="39" s="1"/>
  <c r="Z38" i="39"/>
  <c r="Y38" i="39"/>
  <c r="X38" i="39"/>
  <c r="BYZ34" i="39" s="1"/>
  <c r="CAA38" i="39"/>
  <c r="BZP37" i="39"/>
  <c r="AK37" i="39"/>
  <c r="AJ37" i="39"/>
  <c r="AI37" i="39"/>
  <c r="AH37" i="39"/>
  <c r="BZK32" i="39" s="1"/>
  <c r="BZN59" i="39" s="1"/>
  <c r="AG37" i="39"/>
  <c r="AF37" i="39"/>
  <c r="AE37" i="39"/>
  <c r="AD37" i="39"/>
  <c r="AC37" i="39"/>
  <c r="AB37" i="39"/>
  <c r="AA37" i="39"/>
  <c r="Z37" i="39"/>
  <c r="Y37" i="39"/>
  <c r="X37" i="39"/>
  <c r="M37" i="39"/>
  <c r="CAA37" i="39"/>
  <c r="AD36" i="39"/>
  <c r="AC36" i="39"/>
  <c r="AB36" i="39"/>
  <c r="AA36" i="39"/>
  <c r="Z36" i="39"/>
  <c r="Y36" i="39"/>
  <c r="X36" i="39"/>
  <c r="CAA35" i="39"/>
  <c r="BZP35" i="39"/>
  <c r="AK35" i="39"/>
  <c r="AJ35" i="39"/>
  <c r="AI35" i="39"/>
  <c r="AH35" i="39"/>
  <c r="AG35" i="39"/>
  <c r="AF35" i="39"/>
  <c r="AE35" i="39"/>
  <c r="AD35" i="39"/>
  <c r="AC35" i="39"/>
  <c r="AB35" i="39"/>
  <c r="AA35" i="39"/>
  <c r="Z35" i="39"/>
  <c r="Y35" i="39"/>
  <c r="X35" i="39"/>
  <c r="M35" i="39"/>
  <c r="CAA34" i="39"/>
  <c r="BZT34" i="39"/>
  <c r="BZP34" i="39"/>
  <c r="AD34" i="39"/>
  <c r="AC34" i="39"/>
  <c r="AB34" i="39"/>
  <c r="AA34" i="39"/>
  <c r="Z34" i="39"/>
  <c r="Y34" i="39"/>
  <c r="X34" i="39"/>
  <c r="CAA33" i="39"/>
  <c r="BZP33" i="39"/>
  <c r="BZH33" i="39"/>
  <c r="BZD33" i="39"/>
  <c r="AK33" i="39"/>
  <c r="AJ33" i="39"/>
  <c r="AI33" i="39"/>
  <c r="AH33" i="39"/>
  <c r="AG33" i="39"/>
  <c r="AF33" i="39"/>
  <c r="AE33" i="39"/>
  <c r="AD33" i="39"/>
  <c r="AC33" i="39"/>
  <c r="AB33" i="39"/>
  <c r="AA33" i="39"/>
  <c r="Z33" i="39"/>
  <c r="Y33" i="39"/>
  <c r="X33" i="39"/>
  <c r="BYZ30" i="39" s="1"/>
  <c r="M33" i="39"/>
  <c r="CAA32" i="39"/>
  <c r="BZP32" i="39"/>
  <c r="AK32" i="39"/>
  <c r="AJ32" i="39"/>
  <c r="AI32" i="39"/>
  <c r="AH32" i="39"/>
  <c r="AG32" i="39"/>
  <c r="AF32" i="39"/>
  <c r="AE32" i="39"/>
  <c r="AD32" i="39"/>
  <c r="AC32" i="39"/>
  <c r="AB32" i="39"/>
  <c r="AA32" i="39"/>
  <c r="Z32" i="39"/>
  <c r="Y32" i="39"/>
  <c r="BZD29" i="39" s="1"/>
  <c r="X32" i="39"/>
  <c r="BYZ29" i="39" s="1"/>
  <c r="M32" i="39"/>
  <c r="G32" i="39"/>
  <c r="G22" i="39" s="1"/>
  <c r="F32" i="39"/>
  <c r="F22" i="39" s="1"/>
  <c r="D32" i="39"/>
  <c r="C32" i="39"/>
  <c r="B32" i="39"/>
  <c r="CAA31" i="39"/>
  <c r="BZP31" i="39"/>
  <c r="BZL31" i="39"/>
  <c r="BZH31" i="39"/>
  <c r="BZD31" i="39"/>
  <c r="AD31" i="39"/>
  <c r="AC31" i="39"/>
  <c r="AB31" i="39"/>
  <c r="AA31" i="39"/>
  <c r="Z31" i="39"/>
  <c r="BZH30" i="39" s="1"/>
  <c r="Y31" i="39"/>
  <c r="BZD30" i="39" s="1"/>
  <c r="X31" i="39"/>
  <c r="CAA30" i="39"/>
  <c r="BZP30" i="39"/>
  <c r="AK30" i="39"/>
  <c r="AJ30" i="39"/>
  <c r="AI30" i="39"/>
  <c r="AH30" i="39"/>
  <c r="AG30" i="39"/>
  <c r="AF30" i="39"/>
  <c r="AE30" i="39"/>
  <c r="AD30" i="39"/>
  <c r="AC30" i="39"/>
  <c r="AB30" i="39"/>
  <c r="AA30" i="39"/>
  <c r="Z30" i="39"/>
  <c r="Y30" i="39"/>
  <c r="X30" i="39"/>
  <c r="M30" i="39"/>
  <c r="CAA29" i="39"/>
  <c r="AK29" i="39"/>
  <c r="AJ29" i="39"/>
  <c r="AI29" i="39"/>
  <c r="AH29" i="39"/>
  <c r="AG29" i="39"/>
  <c r="AF29" i="39"/>
  <c r="AE29" i="39"/>
  <c r="AD29" i="39"/>
  <c r="AC29" i="39"/>
  <c r="AB29" i="39"/>
  <c r="AA29" i="39"/>
  <c r="Z29" i="39"/>
  <c r="Y29" i="39"/>
  <c r="BZD27" i="39" s="1"/>
  <c r="X29" i="39"/>
  <c r="M29" i="39"/>
  <c r="CAA28" i="39"/>
  <c r="BZP28" i="39"/>
  <c r="AK28" i="39"/>
  <c r="AJ28" i="39"/>
  <c r="AI28" i="39"/>
  <c r="AH28" i="39"/>
  <c r="AG28" i="39"/>
  <c r="AF28" i="39"/>
  <c r="AE28" i="39"/>
  <c r="AD28" i="39"/>
  <c r="AC28" i="39"/>
  <c r="BZT26" i="39" s="1"/>
  <c r="AB28" i="39"/>
  <c r="AA28" i="39"/>
  <c r="Z28" i="39"/>
  <c r="Y28" i="39"/>
  <c r="X28" i="39"/>
  <c r="M28" i="39"/>
  <c r="CAA27" i="39"/>
  <c r="BZP27" i="39"/>
  <c r="AD27" i="39"/>
  <c r="AC27" i="39"/>
  <c r="AB27" i="39"/>
  <c r="AA27" i="39"/>
  <c r="Z27" i="39"/>
  <c r="Y27" i="39"/>
  <c r="X27" i="39"/>
  <c r="CAA26" i="39"/>
  <c r="BZP26" i="39"/>
  <c r="AK26" i="39"/>
  <c r="BZW25" i="39" s="1"/>
  <c r="BZQ55" i="39" s="1"/>
  <c r="AJ26" i="39"/>
  <c r="AI26" i="39"/>
  <c r="AH26" i="39"/>
  <c r="AG26" i="39"/>
  <c r="AF26" i="39"/>
  <c r="AE26" i="39"/>
  <c r="AC26" i="39"/>
  <c r="BZT25" i="39" s="1"/>
  <c r="AB26" i="39"/>
  <c r="AA26" i="39"/>
  <c r="Z26" i="39"/>
  <c r="Y26" i="39"/>
  <c r="X26" i="39"/>
  <c r="M26" i="39"/>
  <c r="CAA25" i="39"/>
  <c r="BZP25" i="39"/>
  <c r="AD25" i="39"/>
  <c r="AC25" i="39"/>
  <c r="AB25" i="39"/>
  <c r="AA25" i="39"/>
  <c r="Z25" i="39"/>
  <c r="Y25" i="39"/>
  <c r="X25" i="39"/>
  <c r="CAA24" i="39"/>
  <c r="BZP24" i="39"/>
  <c r="AK24" i="39"/>
  <c r="AJ24" i="39"/>
  <c r="AI24" i="39"/>
  <c r="AH24" i="39"/>
  <c r="AG24" i="39"/>
  <c r="AF24" i="39"/>
  <c r="AE24" i="39"/>
  <c r="AD24" i="39"/>
  <c r="AC24" i="39"/>
  <c r="AB24" i="39"/>
  <c r="AB22" i="39" s="1"/>
  <c r="AA24" i="39"/>
  <c r="Z24" i="39"/>
  <c r="Y24" i="39"/>
  <c r="X24" i="39"/>
  <c r="M24" i="39"/>
  <c r="CAB23" i="39"/>
  <c r="BZV23" i="39"/>
  <c r="AD23" i="39"/>
  <c r="AC23" i="39"/>
  <c r="AB23" i="39"/>
  <c r="AA23" i="39"/>
  <c r="Z23" i="39"/>
  <c r="Y23" i="39"/>
  <c r="X23" i="39"/>
  <c r="E22" i="39"/>
  <c r="D22" i="39"/>
  <c r="C22" i="39"/>
  <c r="B22" i="39"/>
  <c r="N21" i="39"/>
  <c r="G21" i="39"/>
  <c r="F21" i="39"/>
  <c r="E21" i="39"/>
  <c r="D21" i="39"/>
  <c r="C21" i="39"/>
  <c r="B21" i="39"/>
  <c r="N9" i="39"/>
  <c r="M7" i="39"/>
  <c r="M6" i="39"/>
  <c r="N5" i="39"/>
  <c r="M5" i="39" s="1"/>
  <c r="N4" i="39"/>
  <c r="M4" i="39" s="1"/>
  <c r="D37" i="38"/>
  <c r="C37" i="38"/>
  <c r="D36" i="38"/>
  <c r="C36" i="38"/>
  <c r="D35" i="38"/>
  <c r="C35" i="38"/>
  <c r="D34" i="38"/>
  <c r="C34" i="38"/>
  <c r="D33" i="38"/>
  <c r="C33" i="38"/>
  <c r="D32" i="38"/>
  <c r="C32" i="38"/>
  <c r="D31" i="38"/>
  <c r="C31" i="38"/>
  <c r="D30" i="38"/>
  <c r="C30" i="38"/>
  <c r="D29" i="38"/>
  <c r="C29" i="38"/>
  <c r="D28" i="38"/>
  <c r="C28" i="38"/>
  <c r="D27" i="38"/>
  <c r="C27" i="38"/>
  <c r="D26" i="38"/>
  <c r="C26" i="38"/>
  <c r="D25" i="38"/>
  <c r="C25" i="38"/>
  <c r="D24" i="38"/>
  <c r="C24" i="38"/>
  <c r="D23" i="38"/>
  <c r="C23" i="38"/>
  <c r="D22" i="38"/>
  <c r="C22" i="38"/>
  <c r="D21" i="38"/>
  <c r="C21" i="38"/>
  <c r="D20" i="38"/>
  <c r="C20" i="38"/>
  <c r="D19" i="38"/>
  <c r="C19" i="38"/>
  <c r="D18" i="38"/>
  <c r="C18" i="38"/>
  <c r="G14" i="38"/>
  <c r="G13" i="38"/>
  <c r="H11" i="38"/>
  <c r="G11" i="38" s="1"/>
  <c r="G10" i="38"/>
  <c r="AL21" i="37" s="1"/>
  <c r="D5" i="38"/>
  <c r="C4" i="38"/>
  <c r="C3" i="38"/>
  <c r="K14" i="38"/>
  <c r="N6" i="37"/>
  <c r="G9" i="38" s="1"/>
  <c r="N5" i="37"/>
  <c r="M5" i="37" s="1"/>
  <c r="N4" i="37"/>
  <c r="G8" i="38" s="1"/>
  <c r="M76" i="37"/>
  <c r="AP75" i="37"/>
  <c r="AN75" i="37"/>
  <c r="AL75" i="37"/>
  <c r="M75" i="37"/>
  <c r="AL74" i="37"/>
  <c r="M72" i="37"/>
  <c r="AP71" i="37"/>
  <c r="AN71" i="37"/>
  <c r="AL71" i="37"/>
  <c r="M71" i="37"/>
  <c r="AL70" i="37"/>
  <c r="M68" i="37"/>
  <c r="AP67" i="37"/>
  <c r="AN67" i="37"/>
  <c r="AL67" i="37"/>
  <c r="M67" i="37"/>
  <c r="AL66" i="37"/>
  <c r="L65" i="37"/>
  <c r="BZI61" i="37"/>
  <c r="N60" i="37" s="1"/>
  <c r="BZI60" i="37"/>
  <c r="N59" i="37" s="1"/>
  <c r="BZI59" i="37"/>
  <c r="N58" i="37" s="1"/>
  <c r="BZI58" i="37"/>
  <c r="N57" i="37" s="1"/>
  <c r="BZI57" i="37"/>
  <c r="N56" i="37" s="1"/>
  <c r="BZI56" i="37"/>
  <c r="N55" i="37" s="1"/>
  <c r="Z43" i="37" s="1"/>
  <c r="BZI55" i="37"/>
  <c r="N54" i="37" s="1"/>
  <c r="BZI54" i="37"/>
  <c r="N53" i="37" s="1"/>
  <c r="L47" i="37"/>
  <c r="AP43" i="37"/>
  <c r="AO43" i="37"/>
  <c r="AN43" i="37"/>
  <c r="AM43" i="37"/>
  <c r="AL43" i="37"/>
  <c r="AK43" i="37"/>
  <c r="AJ43" i="37"/>
  <c r="AI43" i="37"/>
  <c r="AH43" i="37"/>
  <c r="AG43" i="37"/>
  <c r="AF43" i="37"/>
  <c r="AE43" i="37"/>
  <c r="AD43" i="37"/>
  <c r="AC43" i="37"/>
  <c r="AB43" i="37"/>
  <c r="AA43" i="37"/>
  <c r="Y43" i="37"/>
  <c r="W43" i="37"/>
  <c r="V43" i="37"/>
  <c r="AK42" i="37"/>
  <c r="AJ42" i="37"/>
  <c r="AI42" i="37"/>
  <c r="AH42" i="37"/>
  <c r="AG42" i="37"/>
  <c r="AF42" i="37"/>
  <c r="AE42" i="37"/>
  <c r="AD42" i="37"/>
  <c r="AC42" i="37"/>
  <c r="AB42" i="37"/>
  <c r="AA42" i="37"/>
  <c r="Z42" i="37"/>
  <c r="Y42" i="37"/>
  <c r="X42" i="37"/>
  <c r="M42" i="37"/>
  <c r="AD41" i="37"/>
  <c r="AC41" i="37"/>
  <c r="AB41" i="37"/>
  <c r="AA41" i="37"/>
  <c r="Z41" i="37"/>
  <c r="Y41" i="37"/>
  <c r="X41" i="37"/>
  <c r="AK40" i="37"/>
  <c r="AJ40" i="37"/>
  <c r="AI40" i="37"/>
  <c r="AH40" i="37"/>
  <c r="AG40" i="37"/>
  <c r="AF40" i="37"/>
  <c r="AE40" i="37"/>
  <c r="AD40" i="37"/>
  <c r="AC40" i="37"/>
  <c r="AB40" i="37"/>
  <c r="AA40" i="37"/>
  <c r="Z40" i="37"/>
  <c r="Y40" i="37"/>
  <c r="X40" i="37"/>
  <c r="M40" i="37"/>
  <c r="G40" i="37"/>
  <c r="BZP34" i="37" s="1"/>
  <c r="F40" i="37"/>
  <c r="E40" i="37"/>
  <c r="D40" i="37"/>
  <c r="C40" i="37"/>
  <c r="B40" i="37"/>
  <c r="AK39" i="37"/>
  <c r="AJ39" i="37"/>
  <c r="AI39" i="37"/>
  <c r="AH39" i="37"/>
  <c r="AG39" i="37"/>
  <c r="AF39" i="37"/>
  <c r="AE39" i="37"/>
  <c r="AD39" i="37"/>
  <c r="AC39" i="37"/>
  <c r="AB39" i="37"/>
  <c r="AA39" i="37"/>
  <c r="Z39" i="37"/>
  <c r="Y39" i="37"/>
  <c r="X39" i="37"/>
  <c r="M39" i="37"/>
  <c r="AD38" i="37"/>
  <c r="AC38" i="37"/>
  <c r="AB38" i="37"/>
  <c r="AA38" i="37"/>
  <c r="Z38" i="37"/>
  <c r="Y38" i="37"/>
  <c r="X38" i="37"/>
  <c r="BYZ33" i="37" s="1"/>
  <c r="CAA38" i="37"/>
  <c r="BZP37" i="37"/>
  <c r="AK37" i="37"/>
  <c r="AJ37" i="37"/>
  <c r="AI37" i="37"/>
  <c r="AH37" i="37"/>
  <c r="AG37" i="37"/>
  <c r="AF37" i="37"/>
  <c r="AE37" i="37"/>
  <c r="AD37" i="37"/>
  <c r="AC37" i="37"/>
  <c r="AB37" i="37"/>
  <c r="AA37" i="37"/>
  <c r="Z37" i="37"/>
  <c r="Y37" i="37"/>
  <c r="X37" i="37"/>
  <c r="M37" i="37"/>
  <c r="CAA37" i="37"/>
  <c r="AD36" i="37"/>
  <c r="AC36" i="37"/>
  <c r="AB36" i="37"/>
  <c r="AA36" i="37"/>
  <c r="Z36" i="37"/>
  <c r="Y36" i="37"/>
  <c r="X36" i="37"/>
  <c r="CAA35" i="37"/>
  <c r="BZP35" i="37"/>
  <c r="BZH35" i="37"/>
  <c r="BYZ35" i="37"/>
  <c r="AK35" i="37"/>
  <c r="AJ35" i="37"/>
  <c r="AI35" i="37"/>
  <c r="AH35" i="37"/>
  <c r="AG35" i="37"/>
  <c r="AF35" i="37"/>
  <c r="AE35" i="37"/>
  <c r="AD35" i="37"/>
  <c r="AC35" i="37"/>
  <c r="AB35" i="37"/>
  <c r="AA35" i="37"/>
  <c r="Z35" i="37"/>
  <c r="Y35" i="37"/>
  <c r="X35" i="37"/>
  <c r="M35" i="37"/>
  <c r="CAA34" i="37"/>
  <c r="AD34" i="37"/>
  <c r="AC34" i="37"/>
  <c r="AB34" i="37"/>
  <c r="AA34" i="37"/>
  <c r="Z34" i="37"/>
  <c r="Y34" i="37"/>
  <c r="X34" i="37"/>
  <c r="CAA33" i="37"/>
  <c r="BZP33" i="37"/>
  <c r="AK33" i="37"/>
  <c r="AJ33" i="37"/>
  <c r="AI33" i="37"/>
  <c r="AH33" i="37"/>
  <c r="AG33" i="37"/>
  <c r="AF33" i="37"/>
  <c r="AE33" i="37"/>
  <c r="AD33" i="37"/>
  <c r="AC33" i="37"/>
  <c r="AB33" i="37"/>
  <c r="AA33" i="37"/>
  <c r="Z33" i="37"/>
  <c r="Y33" i="37"/>
  <c r="X33" i="37"/>
  <c r="M33" i="37"/>
  <c r="CAA32" i="37"/>
  <c r="BZP32" i="37"/>
  <c r="AK32" i="37"/>
  <c r="AJ32" i="37"/>
  <c r="AI32" i="37"/>
  <c r="AH32" i="37"/>
  <c r="AG32" i="37"/>
  <c r="AF32" i="37"/>
  <c r="AE32" i="37"/>
  <c r="AD32" i="37"/>
  <c r="AC32" i="37"/>
  <c r="BZT29" i="37" s="1"/>
  <c r="AB32" i="37"/>
  <c r="AA32" i="37"/>
  <c r="Z32" i="37"/>
  <c r="Y32" i="37"/>
  <c r="X32" i="37"/>
  <c r="M32" i="37"/>
  <c r="G32" i="37"/>
  <c r="F32" i="37"/>
  <c r="D32" i="37"/>
  <c r="D22" i="37" s="1"/>
  <c r="C32" i="37"/>
  <c r="B32" i="37"/>
  <c r="B22" i="37" s="1"/>
  <c r="CAA31" i="37"/>
  <c r="BZP31" i="37"/>
  <c r="AD31" i="37"/>
  <c r="AC31" i="37"/>
  <c r="AB31" i="37"/>
  <c r="AA31" i="37"/>
  <c r="Z31" i="37"/>
  <c r="Y31" i="37"/>
  <c r="X31" i="37"/>
  <c r="CAA30" i="37"/>
  <c r="BZP30" i="37"/>
  <c r="AK30" i="37"/>
  <c r="AJ30" i="37"/>
  <c r="AI30" i="37"/>
  <c r="AH30" i="37"/>
  <c r="AG30" i="37"/>
  <c r="AF30" i="37"/>
  <c r="AE30" i="37"/>
  <c r="AD30" i="37"/>
  <c r="AC30" i="37"/>
  <c r="AB30" i="37"/>
  <c r="AA30" i="37"/>
  <c r="Z30" i="37"/>
  <c r="Y30" i="37"/>
  <c r="X30" i="37"/>
  <c r="M30" i="37"/>
  <c r="CAA29" i="37"/>
  <c r="BZP29" i="37"/>
  <c r="AK29" i="37"/>
  <c r="AJ29" i="37"/>
  <c r="AI29" i="37"/>
  <c r="AH29" i="37"/>
  <c r="AG29" i="37"/>
  <c r="AF29" i="37"/>
  <c r="AE29" i="37"/>
  <c r="AD29" i="37"/>
  <c r="AC29" i="37"/>
  <c r="BZT27" i="37" s="1"/>
  <c r="AB29" i="37"/>
  <c r="AA29" i="37"/>
  <c r="Z29" i="37"/>
  <c r="Y29" i="37"/>
  <c r="X29" i="37"/>
  <c r="M29" i="37"/>
  <c r="CAA28" i="37"/>
  <c r="BZP28" i="37"/>
  <c r="AK28" i="37"/>
  <c r="AJ28" i="37"/>
  <c r="AI28" i="37"/>
  <c r="AH28" i="37"/>
  <c r="AG28" i="37"/>
  <c r="AF28" i="37"/>
  <c r="AE28" i="37"/>
  <c r="AD28" i="37"/>
  <c r="AC28" i="37"/>
  <c r="AB28" i="37"/>
  <c r="AA28" i="37"/>
  <c r="Z28" i="37"/>
  <c r="Y28" i="37"/>
  <c r="X28" i="37"/>
  <c r="M28" i="37"/>
  <c r="CAA27" i="37"/>
  <c r="BZP27" i="37"/>
  <c r="AD27" i="37"/>
  <c r="AC27" i="37"/>
  <c r="BZT28" i="37" s="1"/>
  <c r="AB27" i="37"/>
  <c r="AA27" i="37"/>
  <c r="Z27" i="37"/>
  <c r="BZH27" i="37" s="1"/>
  <c r="Y27" i="37"/>
  <c r="X27" i="37"/>
  <c r="CAA26" i="37"/>
  <c r="BZP26" i="37"/>
  <c r="AK26" i="37"/>
  <c r="AJ26" i="37"/>
  <c r="AI26" i="37"/>
  <c r="AH26" i="37"/>
  <c r="AG26" i="37"/>
  <c r="AF26" i="37"/>
  <c r="AE26" i="37"/>
  <c r="AC26" i="37"/>
  <c r="AB26" i="37"/>
  <c r="AA26" i="37"/>
  <c r="Z26" i="37"/>
  <c r="Y26" i="37"/>
  <c r="X26" i="37"/>
  <c r="M26" i="37"/>
  <c r="CAA25" i="37"/>
  <c r="BZP25" i="37"/>
  <c r="AD25" i="37"/>
  <c r="AC25" i="37"/>
  <c r="AB25" i="37"/>
  <c r="AA25" i="37"/>
  <c r="Z25" i="37"/>
  <c r="Y25" i="37"/>
  <c r="X25" i="37"/>
  <c r="CAA24" i="37"/>
  <c r="BZP24" i="37"/>
  <c r="AK24" i="37"/>
  <c r="AJ24" i="37"/>
  <c r="AI24" i="37"/>
  <c r="AH24" i="37"/>
  <c r="AG24" i="37"/>
  <c r="AF24" i="37"/>
  <c r="AE24" i="37"/>
  <c r="AD24" i="37"/>
  <c r="AC24" i="37"/>
  <c r="AB24" i="37"/>
  <c r="AA24" i="37"/>
  <c r="Z24" i="37"/>
  <c r="Y24" i="37"/>
  <c r="X24" i="37"/>
  <c r="M24" i="37"/>
  <c r="CAB23" i="37"/>
  <c r="BZV23" i="37"/>
  <c r="AD23" i="37"/>
  <c r="AC23" i="37"/>
  <c r="AB23" i="37"/>
  <c r="AA23" i="37"/>
  <c r="Z23" i="37"/>
  <c r="Y23" i="37"/>
  <c r="X23" i="37"/>
  <c r="G22" i="37"/>
  <c r="F22" i="37"/>
  <c r="E22" i="37"/>
  <c r="N21" i="37"/>
  <c r="G21" i="37"/>
  <c r="F21" i="37"/>
  <c r="E21" i="37"/>
  <c r="D21" i="37"/>
  <c r="C21" i="37"/>
  <c r="B21" i="37"/>
  <c r="N9" i="37"/>
  <c r="M7" i="37"/>
  <c r="L65" i="23"/>
  <c r="BZV23" i="23"/>
  <c r="BZP24" i="23"/>
  <c r="BZP25" i="23"/>
  <c r="BZP26" i="23"/>
  <c r="BZP27" i="23"/>
  <c r="BZP28" i="23"/>
  <c r="BZP30" i="23"/>
  <c r="BZP31" i="23"/>
  <c r="BZP32" i="23"/>
  <c r="BZP33" i="23"/>
  <c r="BZP35" i="23"/>
  <c r="BZP37" i="23"/>
  <c r="BZI54" i="23"/>
  <c r="BZI55" i="23"/>
  <c r="BZI56" i="23"/>
  <c r="BZI57" i="23"/>
  <c r="BZI58" i="23"/>
  <c r="BZI59" i="23"/>
  <c r="BZI60" i="23"/>
  <c r="BZI61" i="23"/>
  <c r="CAB23" i="23"/>
  <c r="AN75" i="23"/>
  <c r="M71" i="23"/>
  <c r="M72" i="23"/>
  <c r="AN71" i="23"/>
  <c r="AL70" i="23"/>
  <c r="AL71" i="23"/>
  <c r="AP71" i="23"/>
  <c r="C4" i="30"/>
  <c r="AN67" i="23"/>
  <c r="BZL29" i="37" l="1"/>
  <c r="BZL32" i="37"/>
  <c r="BZH33" i="37"/>
  <c r="C22" i="37"/>
  <c r="BZS31" i="37"/>
  <c r="BZP58" i="37" s="1"/>
  <c r="BZW26" i="37"/>
  <c r="BZX34" i="37"/>
  <c r="X21" i="37"/>
  <c r="BZD28" i="37"/>
  <c r="BZL28" i="37"/>
  <c r="BZS28" i="37"/>
  <c r="BZX29" i="37"/>
  <c r="BZW30" i="37"/>
  <c r="BZT32" i="37"/>
  <c r="BZD34" i="37"/>
  <c r="BZH31" i="37"/>
  <c r="BYZ32" i="37"/>
  <c r="BZX26" i="37"/>
  <c r="BZX30" i="37"/>
  <c r="BZX30" i="43"/>
  <c r="BZX33" i="43"/>
  <c r="AL28" i="43"/>
  <c r="AP69" i="43"/>
  <c r="H94" i="33"/>
  <c r="H74" i="33"/>
  <c r="AP77" i="39"/>
  <c r="F86" i="33"/>
  <c r="F96" i="33"/>
  <c r="AO71" i="39"/>
  <c r="F80" i="33"/>
  <c r="F95" i="33"/>
  <c r="AP69" i="39"/>
  <c r="F74" i="33"/>
  <c r="F94" i="33"/>
  <c r="AP77" i="37"/>
  <c r="E86" i="33"/>
  <c r="E96" i="33"/>
  <c r="AP73" i="37"/>
  <c r="E95" i="33"/>
  <c r="E80" i="33"/>
  <c r="AO67" i="37"/>
  <c r="E94" i="33"/>
  <c r="E74" i="33"/>
  <c r="AP77" i="43"/>
  <c r="H86" i="33"/>
  <c r="H96" i="33"/>
  <c r="AP72" i="43"/>
  <c r="P5" i="44" s="1"/>
  <c r="H95" i="33"/>
  <c r="H80" i="33"/>
  <c r="AL37" i="43"/>
  <c r="AL33" i="43"/>
  <c r="AL32" i="43"/>
  <c r="AL30" i="43"/>
  <c r="AL29" i="43"/>
  <c r="AL24" i="43"/>
  <c r="AO71" i="41"/>
  <c r="G95" i="33"/>
  <c r="G80" i="33"/>
  <c r="AP77" i="41"/>
  <c r="G86" i="33"/>
  <c r="G96" i="33"/>
  <c r="AP69" i="41"/>
  <c r="G94" i="33"/>
  <c r="G74" i="33"/>
  <c r="BZK26" i="37"/>
  <c r="BZO26" i="39"/>
  <c r="BZX32" i="37"/>
  <c r="BZX33" i="37"/>
  <c r="BZW26" i="39"/>
  <c r="BZC27" i="39"/>
  <c r="BZL28" i="39"/>
  <c r="AB22" i="41"/>
  <c r="AA21" i="43"/>
  <c r="BZH32" i="39"/>
  <c r="BZX35" i="39"/>
  <c r="BZX32" i="43"/>
  <c r="BZL26" i="37"/>
  <c r="BZL32" i="39"/>
  <c r="BZT25" i="41"/>
  <c r="BZL27" i="43"/>
  <c r="BZD32" i="41"/>
  <c r="BZW32" i="41"/>
  <c r="BZQ59" i="41" s="1"/>
  <c r="BZG26" i="43"/>
  <c r="BZK28" i="43"/>
  <c r="BZL35" i="41"/>
  <c r="AC22" i="43"/>
  <c r="BZK26" i="43"/>
  <c r="BZH29" i="39"/>
  <c r="BZS24" i="41"/>
  <c r="BZP54" i="41" s="1"/>
  <c r="BZX27" i="41"/>
  <c r="BZT31" i="41"/>
  <c r="BZX34" i="41"/>
  <c r="BZH30" i="37"/>
  <c r="BYZ24" i="39"/>
  <c r="BZX34" i="39"/>
  <c r="BZD34" i="39"/>
  <c r="BZL35" i="39"/>
  <c r="BZH29" i="41"/>
  <c r="BZG30" i="41"/>
  <c r="BZT25" i="43"/>
  <c r="BZH33" i="43"/>
  <c r="BZT34" i="43"/>
  <c r="BZT31" i="37"/>
  <c r="BZS31" i="39"/>
  <c r="BZP58" i="39" s="1"/>
  <c r="BZD34" i="41"/>
  <c r="BZT33" i="41"/>
  <c r="BZL27" i="37"/>
  <c r="BYZ32" i="39"/>
  <c r="BYZ33" i="39"/>
  <c r="BZD35" i="39"/>
  <c r="BZT35" i="39"/>
  <c r="BZW34" i="39"/>
  <c r="X22" i="41"/>
  <c r="AA22" i="43"/>
  <c r="BYZ30" i="37"/>
  <c r="BYZ34" i="37"/>
  <c r="BZX35" i="37"/>
  <c r="BZW28" i="39"/>
  <c r="BZO32" i="39"/>
  <c r="BZO59" i="39" s="1"/>
  <c r="BYZ35" i="39"/>
  <c r="Y22" i="41"/>
  <c r="BZO25" i="41"/>
  <c r="BZO55" i="41" s="1"/>
  <c r="AB22" i="43"/>
  <c r="Y22" i="39"/>
  <c r="BZL33" i="37"/>
  <c r="BZH28" i="41"/>
  <c r="BZD31" i="43"/>
  <c r="BZT32" i="43"/>
  <c r="BZW35" i="43"/>
  <c r="BZQ61" i="43" s="1"/>
  <c r="BZL30" i="37"/>
  <c r="BZC32" i="37"/>
  <c r="BZL59" i="37" s="1"/>
  <c r="BZD35" i="37"/>
  <c r="BZW35" i="37"/>
  <c r="BZQ61" i="37" s="1"/>
  <c r="BZG24" i="39"/>
  <c r="BZM54" i="39" s="1"/>
  <c r="BZH28" i="39"/>
  <c r="BZT31" i="39"/>
  <c r="BZT32" i="41"/>
  <c r="BZC34" i="41"/>
  <c r="BZX35" i="41"/>
  <c r="BZH31" i="43"/>
  <c r="AC21" i="43"/>
  <c r="BYZ34" i="43"/>
  <c r="BZH35" i="43"/>
  <c r="BZK24" i="37"/>
  <c r="BZN54" i="37" s="1"/>
  <c r="BZD29" i="37"/>
  <c r="BZK29" i="37"/>
  <c r="BYZ31" i="37"/>
  <c r="BZX25" i="39"/>
  <c r="BZW30" i="39"/>
  <c r="BZX31" i="39"/>
  <c r="BZL32" i="41"/>
  <c r="BZX32" i="41"/>
  <c r="BZX33" i="41"/>
  <c r="BZX28" i="37"/>
  <c r="BZW31" i="37"/>
  <c r="BZQ58" i="37" s="1"/>
  <c r="BZW34" i="37"/>
  <c r="BZL35" i="37"/>
  <c r="AB21" i="41"/>
  <c r="AD22" i="41"/>
  <c r="BZL33" i="41"/>
  <c r="X21" i="43"/>
  <c r="BZS26" i="43"/>
  <c r="BZP56" i="43" s="1"/>
  <c r="BZT29" i="43"/>
  <c r="BYZ29" i="37"/>
  <c r="BZT32" i="39"/>
  <c r="BZW26" i="43"/>
  <c r="BZL34" i="37"/>
  <c r="BZX27" i="39"/>
  <c r="BZL29" i="39"/>
  <c r="BZX32" i="39"/>
  <c r="BZX33" i="39"/>
  <c r="BYZ29" i="41"/>
  <c r="BZO31" i="41"/>
  <c r="BZO58" i="41" s="1"/>
  <c r="BZO24" i="43"/>
  <c r="BZO54" i="43" s="1"/>
  <c r="BZS30" i="43"/>
  <c r="BZD32" i="37"/>
  <c r="BZL26" i="41"/>
  <c r="BZS27" i="41"/>
  <c r="BZL24" i="37"/>
  <c r="AA22" i="37"/>
  <c r="BZK28" i="37"/>
  <c r="BZD25" i="39"/>
  <c r="BZO29" i="39"/>
  <c r="BZX25" i="41"/>
  <c r="BZC25" i="41"/>
  <c r="BZL55" i="41" s="1"/>
  <c r="BZD29" i="43"/>
  <c r="BZG29" i="43"/>
  <c r="BZH30" i="43"/>
  <c r="BYZ32" i="43"/>
  <c r="BZS26" i="37"/>
  <c r="BZX27" i="37"/>
  <c r="BZK30" i="37"/>
  <c r="BZS29" i="39"/>
  <c r="BZO24" i="41"/>
  <c r="BZO54" i="41" s="1"/>
  <c r="BZT27" i="41"/>
  <c r="BYZ32" i="41"/>
  <c r="BYZ33" i="41"/>
  <c r="BZD35" i="41"/>
  <c r="BZH29" i="43"/>
  <c r="BZK29" i="43"/>
  <c r="BYY25" i="41"/>
  <c r="BZK55" i="41" s="1"/>
  <c r="BZD28" i="41"/>
  <c r="AB22" i="37"/>
  <c r="BZC26" i="37"/>
  <c r="BZG31" i="37"/>
  <c r="BZM58" i="37" s="1"/>
  <c r="BYY34" i="37"/>
  <c r="BZT35" i="37"/>
  <c r="Y21" i="39"/>
  <c r="BZL24" i="39"/>
  <c r="BYY26" i="39"/>
  <c r="BZH27" i="39"/>
  <c r="BZG30" i="39"/>
  <c r="BYZ31" i="39"/>
  <c r="BZK31" i="39"/>
  <c r="BZN58" i="39" s="1"/>
  <c r="BYY34" i="39"/>
  <c r="AC22" i="41"/>
  <c r="BZD25" i="41"/>
  <c r="BZW25" i="41"/>
  <c r="BZQ55" i="41" s="1"/>
  <c r="BZC26" i="41"/>
  <c r="BZW27" i="41"/>
  <c r="BZC29" i="41"/>
  <c r="BZO32" i="41"/>
  <c r="BZO59" i="41" s="1"/>
  <c r="BZH34" i="41"/>
  <c r="BZL31" i="43"/>
  <c r="BYY32" i="43"/>
  <c r="BZK59" i="43" s="1"/>
  <c r="BYY33" i="43"/>
  <c r="BZG26" i="37"/>
  <c r="BZH29" i="37"/>
  <c r="BZC30" i="37"/>
  <c r="BZD31" i="37"/>
  <c r="Y21" i="37"/>
  <c r="BZC34" i="37"/>
  <c r="BZC26" i="39"/>
  <c r="BZK30" i="39"/>
  <c r="BZO31" i="39"/>
  <c r="BZO58" i="39" s="1"/>
  <c r="BZC34" i="39"/>
  <c r="BZK35" i="39"/>
  <c r="BZN61" i="39" s="1"/>
  <c r="BZG26" i="41"/>
  <c r="BZG28" i="41"/>
  <c r="BZG29" i="41"/>
  <c r="BZD33" i="41"/>
  <c r="BZS32" i="41"/>
  <c r="BZP59" i="41" s="1"/>
  <c r="BZK24" i="43"/>
  <c r="BZN54" i="43" s="1"/>
  <c r="BZG34" i="37"/>
  <c r="BZT24" i="39"/>
  <c r="BZL27" i="41"/>
  <c r="BZK28" i="41"/>
  <c r="BZW33" i="41"/>
  <c r="BYY25" i="43"/>
  <c r="BZK55" i="43" s="1"/>
  <c r="BZD26" i="43"/>
  <c r="BZO29" i="43"/>
  <c r="BZW30" i="43"/>
  <c r="BZG32" i="43"/>
  <c r="BZM59" i="43" s="1"/>
  <c r="BZG33" i="43"/>
  <c r="BZT24" i="37"/>
  <c r="BYY24" i="37"/>
  <c r="BZK54" i="37" s="1"/>
  <c r="BZL25" i="37"/>
  <c r="BYY32" i="37"/>
  <c r="BZK59" i="37" s="1"/>
  <c r="BYY33" i="37"/>
  <c r="BZK34" i="37"/>
  <c r="AD22" i="39"/>
  <c r="BZC29" i="39"/>
  <c r="BZW31" i="39"/>
  <c r="BZQ58" i="39" s="1"/>
  <c r="BZL34" i="39"/>
  <c r="BYY33" i="39"/>
  <c r="BZX24" i="41"/>
  <c r="BZH25" i="41"/>
  <c r="BZO26" i="41"/>
  <c r="BZO28" i="41"/>
  <c r="BZL30" i="41"/>
  <c r="BZO29" i="41"/>
  <c r="BZS24" i="43"/>
  <c r="BZP54" i="43" s="1"/>
  <c r="BZH27" i="43"/>
  <c r="BZS28" i="43"/>
  <c r="BZX29" i="43"/>
  <c r="BZK32" i="43"/>
  <c r="BZN59" i="43" s="1"/>
  <c r="BZD34" i="43"/>
  <c r="BZW34" i="43"/>
  <c r="BZH25" i="39"/>
  <c r="BZG29" i="39"/>
  <c r="BZC33" i="39"/>
  <c r="BZW35" i="39"/>
  <c r="BZQ61" i="39" s="1"/>
  <c r="BYZ28" i="41"/>
  <c r="BZS29" i="41"/>
  <c r="BZC35" i="41"/>
  <c r="BZL61" i="41" s="1"/>
  <c r="BZK27" i="43"/>
  <c r="BZO32" i="43"/>
  <c r="BZO59" i="43" s="1"/>
  <c r="BZO33" i="43"/>
  <c r="BZO34" i="37"/>
  <c r="BZG29" i="37"/>
  <c r="BZS30" i="37"/>
  <c r="BZG32" i="37"/>
  <c r="BZM59" i="37" s="1"/>
  <c r="BZT33" i="37"/>
  <c r="BZG33" i="37"/>
  <c r="BZM60" i="37" s="1"/>
  <c r="AA21" i="39"/>
  <c r="BZX24" i="39"/>
  <c r="BYZ26" i="39"/>
  <c r="BYY27" i="39"/>
  <c r="BZG32" i="39"/>
  <c r="BZM59" i="39" s="1"/>
  <c r="BZT33" i="39"/>
  <c r="BZK24" i="41"/>
  <c r="BZD26" i="41"/>
  <c r="BZW26" i="41"/>
  <c r="BZW28" i="41"/>
  <c r="BYY30" i="41"/>
  <c r="BZG31" i="41"/>
  <c r="BZM58" i="41" s="1"/>
  <c r="BYY34" i="41"/>
  <c r="BZG35" i="41"/>
  <c r="BZM61" i="41" s="1"/>
  <c r="Z22" i="43"/>
  <c r="BZO27" i="43"/>
  <c r="BZH28" i="43"/>
  <c r="BZX31" i="43"/>
  <c r="BZS32" i="43"/>
  <c r="BZP59" i="43" s="1"/>
  <c r="BZL34" i="43"/>
  <c r="BZT28" i="43"/>
  <c r="BYZ27" i="43"/>
  <c r="BZS27" i="43"/>
  <c r="BZL30" i="43"/>
  <c r="BZT30" i="43"/>
  <c r="BZT33" i="43"/>
  <c r="BZW32" i="43"/>
  <c r="BZQ59" i="43" s="1"/>
  <c r="BZD33" i="43"/>
  <c r="BZW33" i="43"/>
  <c r="BZO29" i="37"/>
  <c r="BZO32" i="37"/>
  <c r="BZO59" i="37" s="1"/>
  <c r="BZO33" i="37"/>
  <c r="BZK24" i="39"/>
  <c r="BZN54" i="39" s="1"/>
  <c r="BZD28" i="39"/>
  <c r="BZH34" i="39"/>
  <c r="BZC27" i="41"/>
  <c r="BZL28" i="41"/>
  <c r="BYZ31" i="41"/>
  <c r="BZX26" i="43"/>
  <c r="Y22" i="43"/>
  <c r="BZW27" i="43"/>
  <c r="BYY35" i="43"/>
  <c r="BZK61" i="43" s="1"/>
  <c r="BZS32" i="37"/>
  <c r="BZP59" i="37" s="1"/>
  <c r="BZO24" i="39"/>
  <c r="BZO54" i="39" s="1"/>
  <c r="BYY25" i="39"/>
  <c r="BZK55" i="39" s="1"/>
  <c r="BZS32" i="39"/>
  <c r="BZP59" i="39" s="1"/>
  <c r="BZG25" i="41"/>
  <c r="BZM55" i="41" s="1"/>
  <c r="BZK30" i="41"/>
  <c r="Y21" i="41"/>
  <c r="BZS31" i="41"/>
  <c r="BZP58" i="41" s="1"/>
  <c r="BYY33" i="41"/>
  <c r="BZK34" i="41"/>
  <c r="BZL24" i="43"/>
  <c r="BZD25" i="43"/>
  <c r="BZW25" i="43"/>
  <c r="BZQ55" i="43" s="1"/>
  <c r="BYY30" i="43"/>
  <c r="BZG31" i="43"/>
  <c r="BZM58" i="43" s="1"/>
  <c r="BZS24" i="37"/>
  <c r="BZP54" i="37" s="1"/>
  <c r="BZK27" i="37"/>
  <c r="BZH34" i="37"/>
  <c r="BZO27" i="37"/>
  <c r="BZH28" i="37"/>
  <c r="BZW29" i="37"/>
  <c r="BZX31" i="37"/>
  <c r="BZW32" i="37"/>
  <c r="BZQ59" i="37" s="1"/>
  <c r="BZD33" i="37"/>
  <c r="BZW33" i="37"/>
  <c r="BZQ60" i="37" s="1"/>
  <c r="BZS24" i="39"/>
  <c r="BZP54" i="39" s="1"/>
  <c r="BZC25" i="39"/>
  <c r="BZL55" i="39" s="1"/>
  <c r="BZL26" i="39"/>
  <c r="BZO27" i="39"/>
  <c r="BZW32" i="39"/>
  <c r="BZQ59" i="39" s="1"/>
  <c r="BZW33" i="39"/>
  <c r="BZH24" i="41"/>
  <c r="BYZ24" i="41"/>
  <c r="BZK27" i="41"/>
  <c r="BZO30" i="41"/>
  <c r="BZW31" i="41"/>
  <c r="BZQ58" i="41" s="1"/>
  <c r="BZC32" i="41"/>
  <c r="BZL59" i="41" s="1"/>
  <c r="BZC33" i="41"/>
  <c r="AD22" i="43"/>
  <c r="BZC26" i="43"/>
  <c r="BZX28" i="43"/>
  <c r="BZC30" i="43"/>
  <c r="BYY34" i="43"/>
  <c r="BZG35" i="43"/>
  <c r="BZM61" i="43" s="1"/>
  <c r="BYY27" i="41"/>
  <c r="BZW28" i="37"/>
  <c r="BZO25" i="37"/>
  <c r="BZO55" i="37" s="1"/>
  <c r="BZT26" i="37"/>
  <c r="BYZ25" i="37"/>
  <c r="BYZ27" i="37"/>
  <c r="BZT30" i="37"/>
  <c r="BYY31" i="37"/>
  <c r="BZK58" i="37" s="1"/>
  <c r="BYY35" i="37"/>
  <c r="BZK61" i="37" s="1"/>
  <c r="BZS27" i="39"/>
  <c r="BYY30" i="39"/>
  <c r="BZC31" i="39"/>
  <c r="BZL58" i="39" s="1"/>
  <c r="BYY35" i="39"/>
  <c r="BZK61" i="39" s="1"/>
  <c r="AA22" i="41"/>
  <c r="BZL24" i="41"/>
  <c r="BZO27" i="41"/>
  <c r="BZX28" i="41"/>
  <c r="BZX29" i="41"/>
  <c r="BZH31" i="41"/>
  <c r="BZG33" i="41"/>
  <c r="BZT24" i="43"/>
  <c r="BYY24" i="43"/>
  <c r="BZK54" i="43" s="1"/>
  <c r="BZG30" i="43"/>
  <c r="BZM57" i="43" s="1"/>
  <c r="BZH32" i="43"/>
  <c r="BZC34" i="43"/>
  <c r="BZO24" i="37"/>
  <c r="BZO54" i="37" s="1"/>
  <c r="BZS29" i="37"/>
  <c r="Y22" i="37"/>
  <c r="BZD25" i="37"/>
  <c r="BZW25" i="37"/>
  <c r="BZQ55" i="37" s="1"/>
  <c r="BZD27" i="37"/>
  <c r="BZW27" i="37"/>
  <c r="BZQ56" i="37" s="1"/>
  <c r="BZT34" i="37"/>
  <c r="BZC35" i="37"/>
  <c r="BZL61" i="37" s="1"/>
  <c r="BZH24" i="39"/>
  <c r="BZK25" i="39"/>
  <c r="BZN55" i="39" s="1"/>
  <c r="BZT27" i="39"/>
  <c r="BZX26" i="39"/>
  <c r="BZW27" i="39"/>
  <c r="BZX28" i="39"/>
  <c r="BZC30" i="39"/>
  <c r="BZG31" i="39"/>
  <c r="BZM58" i="39" s="1"/>
  <c r="AB21" i="39"/>
  <c r="BZC35" i="39"/>
  <c r="BZL61" i="39" s="1"/>
  <c r="BYZ25" i="41"/>
  <c r="BYY29" i="41"/>
  <c r="BZW30" i="41"/>
  <c r="BZW34" i="41"/>
  <c r="BZK30" i="43"/>
  <c r="BZG34" i="43"/>
  <c r="BZX24" i="37"/>
  <c r="AD21" i="41"/>
  <c r="AD21" i="43"/>
  <c r="AD21" i="37"/>
  <c r="AD21" i="39"/>
  <c r="BZW24" i="41"/>
  <c r="BZQ54" i="41" s="1"/>
  <c r="BZW24" i="39"/>
  <c r="BZQ54" i="39" s="1"/>
  <c r="AP72" i="23"/>
  <c r="D81" i="33" s="1"/>
  <c r="D95" i="33"/>
  <c r="D80" i="33"/>
  <c r="AQ44" i="41"/>
  <c r="CAB36" i="41"/>
  <c r="Q39" i="42"/>
  <c r="BZH32" i="37"/>
  <c r="BZG32" i="41"/>
  <c r="BZM59" i="41" s="1"/>
  <c r="BZD24" i="43"/>
  <c r="BZD24" i="39"/>
  <c r="BZC24" i="37"/>
  <c r="BZL54" i="37" s="1"/>
  <c r="BZC24" i="39"/>
  <c r="BZL54" i="39" s="1"/>
  <c r="BZH35" i="41"/>
  <c r="Z21" i="39"/>
  <c r="BZC31" i="37"/>
  <c r="BZL58" i="37" s="1"/>
  <c r="BZC31" i="43"/>
  <c r="BZL58" i="43" s="1"/>
  <c r="Y21" i="43"/>
  <c r="BZC31" i="41"/>
  <c r="BZL58" i="41" s="1"/>
  <c r="BZS35" i="41"/>
  <c r="BZP61" i="41" s="1"/>
  <c r="BZS35" i="37"/>
  <c r="BZP61" i="37" s="1"/>
  <c r="AC21" i="37"/>
  <c r="BZS35" i="39"/>
  <c r="BZP61" i="39" s="1"/>
  <c r="BZS35" i="43"/>
  <c r="BZP61" i="43" s="1"/>
  <c r="BZS33" i="39"/>
  <c r="BZS33" i="43"/>
  <c r="BZS34" i="37"/>
  <c r="BZS34" i="41"/>
  <c r="BZS33" i="37"/>
  <c r="BZS33" i="41"/>
  <c r="BZS34" i="39"/>
  <c r="BZS34" i="43"/>
  <c r="BZO35" i="41"/>
  <c r="BZO61" i="41" s="1"/>
  <c r="BZO35" i="39"/>
  <c r="BZO61" i="39" s="1"/>
  <c r="BZO35" i="43"/>
  <c r="BZO61" i="43" s="1"/>
  <c r="BZO34" i="41"/>
  <c r="BZO34" i="39"/>
  <c r="BZO34" i="43"/>
  <c r="BZO33" i="39"/>
  <c r="BZK35" i="41"/>
  <c r="BZN61" i="41" s="1"/>
  <c r="BZK35" i="43"/>
  <c r="BZN61" i="43" s="1"/>
  <c r="BZK35" i="37"/>
  <c r="BZN61" i="37" s="1"/>
  <c r="BZK33" i="37"/>
  <c r="BZN60" i="37" s="1"/>
  <c r="BZK33" i="43"/>
  <c r="BZK33" i="41"/>
  <c r="BZL33" i="43"/>
  <c r="BZK33" i="39"/>
  <c r="BZL34" i="41"/>
  <c r="BZK34" i="43"/>
  <c r="AA21" i="37"/>
  <c r="BZK32" i="41"/>
  <c r="BZN59" i="41" s="1"/>
  <c r="BZK32" i="37"/>
  <c r="BZN59" i="37" s="1"/>
  <c r="BZL31" i="41"/>
  <c r="AA21" i="41"/>
  <c r="BZL31" i="37"/>
  <c r="BZL37" i="37" s="1"/>
  <c r="BZK31" i="41"/>
  <c r="BZN58" i="41" s="1"/>
  <c r="BYY28" i="39"/>
  <c r="BZO31" i="37"/>
  <c r="BZO58" i="37" s="1"/>
  <c r="BZS25" i="39"/>
  <c r="BZP55" i="39" s="1"/>
  <c r="BZS25" i="43"/>
  <c r="BZP55" i="43" s="1"/>
  <c r="BZS25" i="37"/>
  <c r="BZP55" i="37" s="1"/>
  <c r="AC21" i="41"/>
  <c r="AC21" i="39"/>
  <c r="BZT25" i="37"/>
  <c r="BZS25" i="41"/>
  <c r="BZP55" i="41" s="1"/>
  <c r="BZL25" i="39"/>
  <c r="BZC28" i="41"/>
  <c r="BZK25" i="41"/>
  <c r="BZN55" i="41" s="1"/>
  <c r="BZL25" i="41"/>
  <c r="BZH25" i="43"/>
  <c r="BZG25" i="39"/>
  <c r="BZM55" i="39" s="1"/>
  <c r="BZH25" i="37"/>
  <c r="BYY28" i="43"/>
  <c r="Z21" i="41"/>
  <c r="BYY35" i="41"/>
  <c r="BZK61" i="41" s="1"/>
  <c r="BZG35" i="37"/>
  <c r="BZM61" i="37" s="1"/>
  <c r="Z22" i="41"/>
  <c r="Z22" i="39"/>
  <c r="Z22" i="37"/>
  <c r="BZK34" i="39"/>
  <c r="BZG35" i="39"/>
  <c r="BZM61" i="39" s="1"/>
  <c r="BZC28" i="43"/>
  <c r="M6" i="37"/>
  <c r="BZW24" i="43"/>
  <c r="BZQ54" i="43" s="1"/>
  <c r="G8" i="42"/>
  <c r="G8" i="40"/>
  <c r="AO71" i="43"/>
  <c r="AP73" i="43"/>
  <c r="BZK31" i="43"/>
  <c r="BZN58" i="43" s="1"/>
  <c r="BZO31" i="43"/>
  <c r="BZO58" i="43" s="1"/>
  <c r="BZS31" i="43"/>
  <c r="BZP58" i="43" s="1"/>
  <c r="BZO30" i="43"/>
  <c r="BZS29" i="43"/>
  <c r="BZW29" i="43"/>
  <c r="BZO26" i="43"/>
  <c r="BZK25" i="43"/>
  <c r="BZN55" i="43" s="1"/>
  <c r="BZC24" i="43"/>
  <c r="BZL54" i="43" s="1"/>
  <c r="BZG24" i="43"/>
  <c r="BZM54" i="43" s="1"/>
  <c r="AP72" i="41"/>
  <c r="P5" i="42" s="1"/>
  <c r="AO67" i="41"/>
  <c r="BZW35" i="41"/>
  <c r="BZQ61" i="41" s="1"/>
  <c r="BZO33" i="41"/>
  <c r="BZS30" i="41"/>
  <c r="BYY28" i="41"/>
  <c r="BZS28" i="41"/>
  <c r="BZG24" i="41"/>
  <c r="BZM54" i="41" s="1"/>
  <c r="BZC24" i="41"/>
  <c r="BZL54" i="41" s="1"/>
  <c r="AP72" i="39"/>
  <c r="P5" i="40" s="1"/>
  <c r="AO67" i="39"/>
  <c r="AP68" i="39"/>
  <c r="O5" i="40" s="1"/>
  <c r="BZG33" i="39"/>
  <c r="BZC32" i="39"/>
  <c r="BZL59" i="39" s="1"/>
  <c r="BZO30" i="39"/>
  <c r="BZW29" i="39"/>
  <c r="BZO28" i="39"/>
  <c r="BZK27" i="39"/>
  <c r="BZO25" i="39"/>
  <c r="BZO55" i="39" s="1"/>
  <c r="AO71" i="37"/>
  <c r="AP68" i="37"/>
  <c r="O5" i="38" s="1"/>
  <c r="AP69" i="37"/>
  <c r="BZO35" i="37"/>
  <c r="BZO61" i="37" s="1"/>
  <c r="BZK31" i="37"/>
  <c r="BZN58" i="37" s="1"/>
  <c r="BZO30" i="37"/>
  <c r="BYY28" i="37"/>
  <c r="BZC28" i="37"/>
  <c r="BZS27" i="37"/>
  <c r="BZO26" i="37"/>
  <c r="BZG24" i="37"/>
  <c r="BZM54" i="37" s="1"/>
  <c r="BZW24" i="37"/>
  <c r="G9" i="40"/>
  <c r="G9" i="44"/>
  <c r="G9" i="42"/>
  <c r="M4" i="43"/>
  <c r="M4" i="37"/>
  <c r="BZX24" i="43"/>
  <c r="AO67" i="43"/>
  <c r="BYY26" i="43"/>
  <c r="BZO28" i="43"/>
  <c r="BYZ26" i="43"/>
  <c r="BYY29" i="43"/>
  <c r="BYZ30" i="43"/>
  <c r="BYZ25" i="43"/>
  <c r="BZX25" i="43"/>
  <c r="BZW28" i="43"/>
  <c r="AP68" i="43"/>
  <c r="O5" i="44" s="1"/>
  <c r="BZH24" i="43"/>
  <c r="BZC25" i="43"/>
  <c r="BZL55" i="43" s="1"/>
  <c r="BYY27" i="43"/>
  <c r="BYZ28" i="43"/>
  <c r="BZC29" i="43"/>
  <c r="BZD30" i="43"/>
  <c r="BYY31" i="43"/>
  <c r="Z21" i="43"/>
  <c r="BZG25" i="43"/>
  <c r="BZM55" i="43" s="1"/>
  <c r="BZH26" i="43"/>
  <c r="BZC27" i="43"/>
  <c r="AO75" i="43"/>
  <c r="AB21" i="43"/>
  <c r="BZD27" i="43"/>
  <c r="BZG28" i="43"/>
  <c r="X22" i="43"/>
  <c r="BZG27" i="43"/>
  <c r="BZC33" i="43"/>
  <c r="AP76" i="43"/>
  <c r="Q5" i="44" s="1"/>
  <c r="BZN54" i="41"/>
  <c r="BZT24" i="41"/>
  <c r="BYY24" i="41"/>
  <c r="BZS26" i="41"/>
  <c r="BYZ34" i="41"/>
  <c r="BYY26" i="41"/>
  <c r="BZT29" i="41"/>
  <c r="AP73" i="41"/>
  <c r="BYZ26" i="41"/>
  <c r="BZX26" i="41"/>
  <c r="BZT28" i="41"/>
  <c r="BZW29" i="41"/>
  <c r="BZG34" i="41"/>
  <c r="X21" i="41"/>
  <c r="BZC30" i="41"/>
  <c r="AP68" i="41"/>
  <c r="O5" i="42" s="1"/>
  <c r="BZD24" i="41"/>
  <c r="BZD30" i="41"/>
  <c r="BYY31" i="41"/>
  <c r="BYZ27" i="41"/>
  <c r="BZX31" i="41"/>
  <c r="AO75" i="41"/>
  <c r="BZK26" i="41"/>
  <c r="BZK29" i="41"/>
  <c r="BYY32" i="41"/>
  <c r="BZG27" i="41"/>
  <c r="BZH27" i="41"/>
  <c r="AP76" i="41"/>
  <c r="Q5" i="42" s="1"/>
  <c r="BZT30" i="39"/>
  <c r="AA22" i="39"/>
  <c r="BYY24" i="39"/>
  <c r="BZS26" i="39"/>
  <c r="BZL27" i="39"/>
  <c r="BZP29" i="39"/>
  <c r="BZS30" i="39"/>
  <c r="BZD32" i="39"/>
  <c r="AP73" i="39"/>
  <c r="BZT28" i="39"/>
  <c r="BYY29" i="39"/>
  <c r="BZX30" i="39"/>
  <c r="BZG34" i="39"/>
  <c r="BZS28" i="39"/>
  <c r="X21" i="39"/>
  <c r="BYZ25" i="39"/>
  <c r="BZX29" i="39"/>
  <c r="BZT29" i="39"/>
  <c r="BZD26" i="39"/>
  <c r="BYZ28" i="39"/>
  <c r="BYY31" i="39"/>
  <c r="BZG26" i="39"/>
  <c r="BYZ27" i="39"/>
  <c r="BZC28" i="39"/>
  <c r="AC22" i="39"/>
  <c r="BZH26" i="39"/>
  <c r="AO75" i="39"/>
  <c r="BZK26" i="39"/>
  <c r="BZG28" i="39"/>
  <c r="X22" i="39"/>
  <c r="BZG27" i="39"/>
  <c r="BZK29" i="39"/>
  <c r="BZL30" i="39"/>
  <c r="BYY32" i="39"/>
  <c r="BZK28" i="39"/>
  <c r="AP76" i="39"/>
  <c r="Q5" i="40" s="1"/>
  <c r="BYZ24" i="37"/>
  <c r="AP72" i="37"/>
  <c r="P5" i="38" s="1"/>
  <c r="AC22" i="37"/>
  <c r="BYY26" i="37"/>
  <c r="BYY30" i="37"/>
  <c r="AD22" i="37"/>
  <c r="BZD24" i="37"/>
  <c r="BYY25" i="37"/>
  <c r="BYZ26" i="37"/>
  <c r="BYY29" i="37"/>
  <c r="BZX25" i="37"/>
  <c r="BZO28" i="37"/>
  <c r="BZH24" i="37"/>
  <c r="BZC25" i="37"/>
  <c r="BZL55" i="37" s="1"/>
  <c r="BZD26" i="37"/>
  <c r="BYY27" i="37"/>
  <c r="BYZ28" i="37"/>
  <c r="BZC29" i="37"/>
  <c r="BZD30" i="37"/>
  <c r="Z21" i="37"/>
  <c r="BZG30" i="37"/>
  <c r="BZG25" i="37"/>
  <c r="BZM55" i="37" s="1"/>
  <c r="BZH26" i="37"/>
  <c r="BZC27" i="37"/>
  <c r="AO75" i="37"/>
  <c r="AB21" i="37"/>
  <c r="BZG28" i="37"/>
  <c r="BZK25" i="37"/>
  <c r="BZN55" i="37" s="1"/>
  <c r="BZG27" i="37"/>
  <c r="BZC33" i="37"/>
  <c r="BZL60" i="37" s="1"/>
  <c r="AP76" i="37"/>
  <c r="Q5" i="38" s="1"/>
  <c r="X22" i="37"/>
  <c r="AL74" i="23"/>
  <c r="AL66" i="23"/>
  <c r="AL67" i="23"/>
  <c r="AP75" i="23"/>
  <c r="M76" i="23"/>
  <c r="M75" i="23"/>
  <c r="M68" i="23"/>
  <c r="M67" i="23"/>
  <c r="M42" i="23"/>
  <c r="M40" i="23"/>
  <c r="M39" i="23"/>
  <c r="M37" i="23"/>
  <c r="M35" i="23"/>
  <c r="M33" i="23"/>
  <c r="M32" i="23"/>
  <c r="M30" i="23"/>
  <c r="M29" i="23"/>
  <c r="M28" i="23"/>
  <c r="M26" i="23"/>
  <c r="M24" i="23"/>
  <c r="N9" i="23"/>
  <c r="M8" i="23"/>
  <c r="M7" i="23"/>
  <c r="M6" i="23"/>
  <c r="M5" i="23"/>
  <c r="M4" i="23"/>
  <c r="N21" i="23"/>
  <c r="AO71" i="23"/>
  <c r="AP67" i="23"/>
  <c r="C85" i="33"/>
  <c r="C87" i="33"/>
  <c r="C84" i="33"/>
  <c r="C79" i="33"/>
  <c r="C81" i="33"/>
  <c r="C78" i="33"/>
  <c r="C73" i="33"/>
  <c r="C75" i="33"/>
  <c r="C72" i="33"/>
  <c r="AB43" i="33"/>
  <c r="Z14" i="33"/>
  <c r="L47" i="23"/>
  <c r="B11" i="33"/>
  <c r="B10" i="33"/>
  <c r="B9" i="33"/>
  <c r="K163" i="14"/>
  <c r="K162" i="14"/>
  <c r="K161" i="14"/>
  <c r="K160" i="14"/>
  <c r="K159" i="14"/>
  <c r="K158" i="14"/>
  <c r="K152" i="14"/>
  <c r="K151" i="14"/>
  <c r="K150" i="14"/>
  <c r="K149" i="14"/>
  <c r="K148" i="14"/>
  <c r="K147" i="14"/>
  <c r="K141" i="14"/>
  <c r="K140" i="14"/>
  <c r="K139" i="14"/>
  <c r="K138" i="14"/>
  <c r="K137" i="14"/>
  <c r="K136" i="14"/>
  <c r="C13" i="33"/>
  <c r="C90" i="33"/>
  <c r="C34" i="33"/>
  <c r="C33" i="33"/>
  <c r="C55" i="33" s="1"/>
  <c r="C32" i="33"/>
  <c r="C31" i="33"/>
  <c r="C30" i="33"/>
  <c r="C54" i="33" s="1"/>
  <c r="C29" i="33"/>
  <c r="C28" i="33"/>
  <c r="C53" i="33" s="1"/>
  <c r="C27" i="33"/>
  <c r="C26" i="33"/>
  <c r="C52" i="33" s="1"/>
  <c r="C25" i="33"/>
  <c r="C24" i="33"/>
  <c r="C23" i="33"/>
  <c r="C51" i="33" s="1"/>
  <c r="C22" i="33"/>
  <c r="C21" i="33"/>
  <c r="C20" i="33"/>
  <c r="C19" i="33"/>
  <c r="C50" i="33" s="1"/>
  <c r="C18" i="33"/>
  <c r="C17" i="33"/>
  <c r="C49" i="33" s="1"/>
  <c r="C16" i="33"/>
  <c r="C15" i="33"/>
  <c r="C48" i="33" s="1"/>
  <c r="BZQ57" i="37" l="1"/>
  <c r="BZT37" i="37"/>
  <c r="BZP56" i="37"/>
  <c r="BZO56" i="41"/>
  <c r="BZO60" i="37"/>
  <c r="BZN56" i="37"/>
  <c r="BZL56" i="41"/>
  <c r="BZL56" i="39"/>
  <c r="BZP57" i="39"/>
  <c r="BZL60" i="39"/>
  <c r="BZL63" i="39" s="1"/>
  <c r="BZL53" i="39" s="1"/>
  <c r="BZM57" i="39"/>
  <c r="BZL57" i="39"/>
  <c r="BZN57" i="41"/>
  <c r="BZO57" i="41"/>
  <c r="BZP57" i="37"/>
  <c r="H81" i="33"/>
  <c r="BZM60" i="43"/>
  <c r="BZK60" i="43"/>
  <c r="BZQ60" i="43"/>
  <c r="BZL57" i="43"/>
  <c r="BZO57" i="43"/>
  <c r="BZN56" i="43"/>
  <c r="BZM60" i="41"/>
  <c r="BZL57" i="41"/>
  <c r="BZM56" i="41"/>
  <c r="BZK60" i="37"/>
  <c r="BZQ57" i="43"/>
  <c r="BZQ56" i="43"/>
  <c r="BZM57" i="41"/>
  <c r="BZK57" i="41"/>
  <c r="BZN57" i="39"/>
  <c r="BZQ60" i="39"/>
  <c r="BZK60" i="39"/>
  <c r="BZO57" i="39"/>
  <c r="BZO56" i="39"/>
  <c r="BZM57" i="37"/>
  <c r="BZO57" i="37"/>
  <c r="BZQ56" i="41"/>
  <c r="BZN57" i="37"/>
  <c r="BZN63" i="37" s="1"/>
  <c r="R43" i="37" s="1"/>
  <c r="BZP57" i="41"/>
  <c r="BZL37" i="41"/>
  <c r="BZX37" i="37"/>
  <c r="BZQ56" i="39"/>
  <c r="BZH37" i="39"/>
  <c r="BZO60" i="43"/>
  <c r="BZN57" i="43"/>
  <c r="BZN60" i="41"/>
  <c r="BZK60" i="41"/>
  <c r="BZT37" i="43"/>
  <c r="BZQ60" i="41"/>
  <c r="BZL37" i="43"/>
  <c r="BZX37" i="41"/>
  <c r="BZN56" i="41"/>
  <c r="BZP57" i="43"/>
  <c r="BZL60" i="43"/>
  <c r="BZQ57" i="39"/>
  <c r="BYZ37" i="39"/>
  <c r="BZW37" i="37"/>
  <c r="BZW36" i="37" s="1"/>
  <c r="BZL60" i="41"/>
  <c r="BZL37" i="39"/>
  <c r="BYZ37" i="43"/>
  <c r="BZD37" i="39"/>
  <c r="BZT37" i="39"/>
  <c r="BZX37" i="39"/>
  <c r="BZD37" i="43"/>
  <c r="BZH37" i="41"/>
  <c r="BZD37" i="37"/>
  <c r="BZL57" i="37"/>
  <c r="BZQ57" i="41"/>
  <c r="BZK56" i="39"/>
  <c r="AO75" i="23"/>
  <c r="D86" i="33"/>
  <c r="D96" i="33"/>
  <c r="P5" i="30"/>
  <c r="AO67" i="23"/>
  <c r="D94" i="33"/>
  <c r="D74" i="33"/>
  <c r="BZP60" i="37"/>
  <c r="BZN56" i="39"/>
  <c r="BZM56" i="39"/>
  <c r="BZP60" i="39"/>
  <c r="BZO60" i="41"/>
  <c r="BZM56" i="37"/>
  <c r="BZM63" i="37" s="1"/>
  <c r="BZM62" i="37" s="1"/>
  <c r="BZO60" i="39"/>
  <c r="BZN60" i="39"/>
  <c r="BZW37" i="39"/>
  <c r="BZW36" i="39" s="1"/>
  <c r="BZP60" i="41"/>
  <c r="BZO37" i="41"/>
  <c r="BZO36" i="41" s="1"/>
  <c r="BZP56" i="41"/>
  <c r="BZL56" i="37"/>
  <c r="BZS37" i="37"/>
  <c r="BZS36" i="37" s="1"/>
  <c r="BZO37" i="37"/>
  <c r="BZO36" i="37" s="1"/>
  <c r="BZC37" i="39"/>
  <c r="BZC36" i="39" s="1"/>
  <c r="BZP60" i="43"/>
  <c r="BZN60" i="43"/>
  <c r="BZO37" i="43"/>
  <c r="BZO36" i="43" s="1"/>
  <c r="BZO37" i="39"/>
  <c r="BZO36" i="39" s="1"/>
  <c r="BZS37" i="43"/>
  <c r="BZS36" i="43" s="1"/>
  <c r="BZL56" i="43"/>
  <c r="BYY37" i="43"/>
  <c r="BZK37" i="43"/>
  <c r="BZK36" i="43" s="1"/>
  <c r="BZQ54" i="37"/>
  <c r="BZQ63" i="37" s="1"/>
  <c r="BZQ62" i="37" s="1"/>
  <c r="H87" i="33"/>
  <c r="H75" i="33"/>
  <c r="BZM56" i="43"/>
  <c r="BZM63" i="43" s="1"/>
  <c r="BZM53" i="43" s="1"/>
  <c r="BZW37" i="43"/>
  <c r="BZW36" i="43" s="1"/>
  <c r="BZO56" i="43"/>
  <c r="BZG37" i="43"/>
  <c r="BZG36" i="43" s="1"/>
  <c r="BZC37" i="43"/>
  <c r="BZC36" i="43" s="1"/>
  <c r="G87" i="33"/>
  <c r="G81" i="33"/>
  <c r="G75" i="33"/>
  <c r="BZC37" i="41"/>
  <c r="BZC36" i="41" s="1"/>
  <c r="BZW37" i="41"/>
  <c r="BZW36" i="41" s="1"/>
  <c r="BZG37" i="41"/>
  <c r="BZG36" i="41" s="1"/>
  <c r="BZK37" i="41"/>
  <c r="BZK36" i="41" s="1"/>
  <c r="BZS37" i="41"/>
  <c r="BZS36" i="41" s="1"/>
  <c r="F87" i="33"/>
  <c r="F81" i="33"/>
  <c r="F75" i="33"/>
  <c r="BZM60" i="39"/>
  <c r="BZK37" i="39"/>
  <c r="BZK36" i="39" s="1"/>
  <c r="BZP56" i="39"/>
  <c r="BZG37" i="39"/>
  <c r="BZG36" i="39" s="1"/>
  <c r="BZS37" i="39"/>
  <c r="BZS36" i="39" s="1"/>
  <c r="E87" i="33"/>
  <c r="E81" i="33"/>
  <c r="E75" i="33"/>
  <c r="BZO56" i="37"/>
  <c r="BZO63" i="37" s="1"/>
  <c r="BYY37" i="37"/>
  <c r="BZG37" i="37"/>
  <c r="BZG36" i="37" s="1"/>
  <c r="BZK37" i="37"/>
  <c r="BZK36" i="37" s="1"/>
  <c r="BZC37" i="37"/>
  <c r="BZC36" i="37" s="1"/>
  <c r="BZK57" i="43"/>
  <c r="BZH37" i="43"/>
  <c r="BZK56" i="43"/>
  <c r="BZK58" i="43"/>
  <c r="BZX37" i="43"/>
  <c r="BZK56" i="41"/>
  <c r="BZK59" i="41"/>
  <c r="BZK58" i="41"/>
  <c r="BYZ37" i="41"/>
  <c r="BZD37" i="41"/>
  <c r="BZK54" i="41"/>
  <c r="BYY37" i="41"/>
  <c r="BZT37" i="41"/>
  <c r="BZK58" i="39"/>
  <c r="BZK54" i="39"/>
  <c r="BYY37" i="39"/>
  <c r="BZK59" i="39"/>
  <c r="BZK57" i="39"/>
  <c r="BZK55" i="37"/>
  <c r="BZH37" i="37"/>
  <c r="BZK56" i="37"/>
  <c r="BZK57" i="37"/>
  <c r="BYZ37" i="37"/>
  <c r="AP68" i="23"/>
  <c r="D75" i="33" s="1"/>
  <c r="AP76" i="23"/>
  <c r="AP73" i="23"/>
  <c r="CAA24" i="23"/>
  <c r="CAA25" i="23"/>
  <c r="CAA26" i="23"/>
  <c r="CAA27" i="23"/>
  <c r="CAA28" i="23"/>
  <c r="CAA29" i="23"/>
  <c r="CAA30" i="23"/>
  <c r="CAA31" i="23"/>
  <c r="CAA32" i="23"/>
  <c r="CAA33" i="23"/>
  <c r="CAA34" i="23"/>
  <c r="CAA35" i="23"/>
  <c r="CAA37" i="23"/>
  <c r="CAA38" i="23"/>
  <c r="G14" i="30"/>
  <c r="G13" i="30"/>
  <c r="G9" i="30"/>
  <c r="G10" i="30"/>
  <c r="G8" i="30"/>
  <c r="H11" i="30"/>
  <c r="BZQ63" i="43" l="1"/>
  <c r="BZQ62" i="43" s="1"/>
  <c r="BZM63" i="41"/>
  <c r="BZM53" i="41" s="1"/>
  <c r="BZL63" i="41"/>
  <c r="BZL62" i="41" s="1"/>
  <c r="BZO63" i="41"/>
  <c r="BZO62" i="41" s="1"/>
  <c r="BZL63" i="37"/>
  <c r="P43" i="37" s="1"/>
  <c r="BZP63" i="37"/>
  <c r="BZP53" i="37" s="1"/>
  <c r="BZO63" i="43"/>
  <c r="S43" i="43" s="1"/>
  <c r="BZP63" i="43"/>
  <c r="BZP62" i="43" s="1"/>
  <c r="BZL63" i="43"/>
  <c r="BZL62" i="43" s="1"/>
  <c r="BZN63" i="43"/>
  <c r="R43" i="43" s="1"/>
  <c r="BZN63" i="41"/>
  <c r="R43" i="41" s="1"/>
  <c r="BZO63" i="39"/>
  <c r="BZO53" i="39" s="1"/>
  <c r="BZQ63" i="39"/>
  <c r="BZQ62" i="39" s="1"/>
  <c r="BZQ63" i="41"/>
  <c r="BZQ62" i="41" s="1"/>
  <c r="BZP63" i="41"/>
  <c r="BZP62" i="41" s="1"/>
  <c r="BZN63" i="39"/>
  <c r="BZN62" i="39" s="1"/>
  <c r="BZP63" i="39"/>
  <c r="T43" i="39" s="1"/>
  <c r="BZL62" i="39"/>
  <c r="P43" i="39"/>
  <c r="BZM63" i="39"/>
  <c r="BZM53" i="39" s="1"/>
  <c r="BYY36" i="43"/>
  <c r="BYY36" i="37"/>
  <c r="BZO53" i="41"/>
  <c r="S43" i="41"/>
  <c r="BZN62" i="37"/>
  <c r="BZN53" i="37"/>
  <c r="O5" i="30"/>
  <c r="Q43" i="37"/>
  <c r="BZM53" i="37"/>
  <c r="D87" i="33"/>
  <c r="Q5" i="30"/>
  <c r="U43" i="37"/>
  <c r="BZM62" i="43"/>
  <c r="BZK63" i="43"/>
  <c r="BZK62" i="43" s="1"/>
  <c r="Q43" i="43"/>
  <c r="BZO62" i="37"/>
  <c r="BZO53" i="37"/>
  <c r="S43" i="37"/>
  <c r="BZK63" i="37"/>
  <c r="N48" i="39"/>
  <c r="G71" i="33"/>
  <c r="N48" i="41"/>
  <c r="F71" i="33"/>
  <c r="N48" i="37"/>
  <c r="H71" i="33"/>
  <c r="E71" i="33"/>
  <c r="N48" i="43"/>
  <c r="L48" i="41"/>
  <c r="L21" i="43"/>
  <c r="L48" i="39"/>
  <c r="J20" i="41"/>
  <c r="L21" i="41"/>
  <c r="L48" i="37"/>
  <c r="J20" i="37"/>
  <c r="J20" i="39"/>
  <c r="J20" i="43"/>
  <c r="L48" i="43"/>
  <c r="L21" i="39"/>
  <c r="L21" i="37"/>
  <c r="BZK63" i="41"/>
  <c r="BYY36" i="41"/>
  <c r="BZK63" i="39"/>
  <c r="BYY36" i="39"/>
  <c r="C86" i="33"/>
  <c r="C80" i="33"/>
  <c r="C74" i="33"/>
  <c r="G11" i="30"/>
  <c r="BZP62" i="37" l="1"/>
  <c r="T43" i="37"/>
  <c r="BZL62" i="37"/>
  <c r="BZL53" i="37"/>
  <c r="U43" i="43"/>
  <c r="BZM62" i="41"/>
  <c r="Q43" i="41"/>
  <c r="BZL53" i="41"/>
  <c r="P43" i="41"/>
  <c r="BZO62" i="43"/>
  <c r="BZO53" i="43"/>
  <c r="BZL53" i="43"/>
  <c r="T43" i="43"/>
  <c r="BZN53" i="43"/>
  <c r="BZN62" i="43"/>
  <c r="BZP53" i="43"/>
  <c r="P43" i="43"/>
  <c r="BZN62" i="41"/>
  <c r="BZN53" i="41"/>
  <c r="U43" i="39"/>
  <c r="BZO62" i="39"/>
  <c r="S43" i="39"/>
  <c r="U43" i="41"/>
  <c r="T43" i="41"/>
  <c r="BZP53" i="41"/>
  <c r="BZN53" i="39"/>
  <c r="R43" i="39"/>
  <c r="BZP53" i="39"/>
  <c r="BZP62" i="39"/>
  <c r="Q43" i="39"/>
  <c r="BZM62" i="39"/>
  <c r="O43" i="43"/>
  <c r="O43" i="37"/>
  <c r="BZK62" i="37"/>
  <c r="K47" i="39"/>
  <c r="K47" i="43"/>
  <c r="K47" i="37"/>
  <c r="K47" i="41"/>
  <c r="BZK62" i="41"/>
  <c r="O43" i="41"/>
  <c r="BZK62" i="39"/>
  <c r="O43" i="39"/>
  <c r="Q39" i="30"/>
  <c r="AP52" i="43" l="1"/>
  <c r="AP52" i="37"/>
  <c r="AP52" i="41"/>
  <c r="BZP64" i="41"/>
  <c r="BZM64" i="41"/>
  <c r="BZL64" i="41"/>
  <c r="BZK64" i="41"/>
  <c r="BZQ64" i="41"/>
  <c r="BZN64" i="41"/>
  <c r="BZO64" i="41"/>
  <c r="BZQ64" i="37"/>
  <c r="BZM64" i="37"/>
  <c r="BZO64" i="37"/>
  <c r="BZK64" i="37"/>
  <c r="BZN64" i="37"/>
  <c r="BZP64" i="37"/>
  <c r="BZL64" i="37"/>
  <c r="BZQ64" i="43"/>
  <c r="BZM64" i="43"/>
  <c r="BZO64" i="43"/>
  <c r="BZK64" i="43"/>
  <c r="BZN64" i="43"/>
  <c r="BZP64" i="43"/>
  <c r="BZL64" i="43"/>
  <c r="BZQ64" i="39"/>
  <c r="BZK64" i="39"/>
  <c r="BZP64" i="39"/>
  <c r="BZN64" i="39"/>
  <c r="BZL64" i="39"/>
  <c r="BZO64" i="39"/>
  <c r="BZM64" i="39"/>
  <c r="AP77" i="23"/>
  <c r="A162" i="14"/>
  <c r="A161" i="14"/>
  <c r="A160" i="14"/>
  <c r="A159" i="14"/>
  <c r="A158" i="14"/>
  <c r="A151" i="14"/>
  <c r="A150" i="14"/>
  <c r="A149" i="14"/>
  <c r="A148" i="14"/>
  <c r="A147" i="14"/>
  <c r="A137" i="14"/>
  <c r="A138" i="14"/>
  <c r="A139" i="14"/>
  <c r="A140" i="14"/>
  <c r="A136" i="14"/>
  <c r="BZJ62" i="41" l="1"/>
  <c r="M62" i="41" s="1"/>
  <c r="BZO15" i="39"/>
  <c r="BZP15" i="39" s="1"/>
  <c r="AI15" i="39"/>
  <c r="AB20" i="39"/>
  <c r="AI15" i="43"/>
  <c r="BZO15" i="43"/>
  <c r="BZP15" i="43" s="1"/>
  <c r="AB20" i="43"/>
  <c r="AA20" i="39"/>
  <c r="AH15" i="39"/>
  <c r="BZK15" i="39"/>
  <c r="BZL15" i="39" s="1"/>
  <c r="BYY15" i="39"/>
  <c r="X20" i="39"/>
  <c r="AE15" i="39"/>
  <c r="BZJ56" i="39"/>
  <c r="L55" i="39" s="1"/>
  <c r="BZJ61" i="39"/>
  <c r="L60" i="39" s="1"/>
  <c r="BZJ55" i="39"/>
  <c r="L54" i="39" s="1"/>
  <c r="BZJ60" i="39"/>
  <c r="L59" i="39" s="1"/>
  <c r="BZJ59" i="39"/>
  <c r="L58" i="39" s="1"/>
  <c r="BZJ58" i="39"/>
  <c r="L57" i="39" s="1"/>
  <c r="BZJ54" i="39"/>
  <c r="BZJ57" i="39"/>
  <c r="L56" i="39" s="1"/>
  <c r="AJ15" i="37"/>
  <c r="BZS15" i="37"/>
  <c r="BZT15" i="37" s="1"/>
  <c r="AC20" i="37"/>
  <c r="AD20" i="39"/>
  <c r="BZW15" i="39"/>
  <c r="BZX15" i="39" s="1"/>
  <c r="AK15" i="39"/>
  <c r="AA20" i="37"/>
  <c r="AH15" i="37"/>
  <c r="BZK15" i="37"/>
  <c r="BZL15" i="37" s="1"/>
  <c r="BZO15" i="41"/>
  <c r="BZP15" i="41" s="1"/>
  <c r="AI15" i="41"/>
  <c r="AB20" i="41"/>
  <c r="BZJ58" i="37"/>
  <c r="L57" i="37" s="1"/>
  <c r="BZC15" i="37"/>
  <c r="BZD15" i="37" s="1"/>
  <c r="Y20" i="37"/>
  <c r="AF15" i="37"/>
  <c r="BZJ62" i="39"/>
  <c r="BZJ54" i="37"/>
  <c r="BZJ59" i="37"/>
  <c r="L58" i="37" s="1"/>
  <c r="BZJ60" i="37"/>
  <c r="L59" i="37" s="1"/>
  <c r="BYY15" i="37"/>
  <c r="AE15" i="37"/>
  <c r="X20" i="37"/>
  <c r="BZJ61" i="37"/>
  <c r="L60" i="37" s="1"/>
  <c r="BZJ55" i="37"/>
  <c r="L54" i="37" s="1"/>
  <c r="BZJ56" i="37"/>
  <c r="L55" i="37" s="1"/>
  <c r="BZJ62" i="37"/>
  <c r="BZJ57" i="37"/>
  <c r="L56" i="37" s="1"/>
  <c r="AH15" i="41"/>
  <c r="BZK15" i="41"/>
  <c r="AA20" i="41"/>
  <c r="BZC15" i="39"/>
  <c r="BZD15" i="39" s="1"/>
  <c r="AF15" i="39"/>
  <c r="Y20" i="39"/>
  <c r="AJ15" i="39"/>
  <c r="AC20" i="39"/>
  <c r="BZS15" i="39"/>
  <c r="BZT15" i="39" s="1"/>
  <c r="AB20" i="37"/>
  <c r="AI15" i="37"/>
  <c r="BZO15" i="37"/>
  <c r="BZP15" i="37" s="1"/>
  <c r="AD20" i="41"/>
  <c r="BZW15" i="41"/>
  <c r="BZX15" i="41" s="1"/>
  <c r="AK15" i="41"/>
  <c r="Z20" i="43"/>
  <c r="AG15" i="43"/>
  <c r="BZG15" i="43"/>
  <c r="BZH15" i="43" s="1"/>
  <c r="BZS15" i="43"/>
  <c r="BZT15" i="43" s="1"/>
  <c r="AJ15" i="43"/>
  <c r="AC20" i="43"/>
  <c r="BZW15" i="37"/>
  <c r="BZX15" i="37" s="1"/>
  <c r="AK15" i="37"/>
  <c r="AD20" i="37"/>
  <c r="AF15" i="41"/>
  <c r="Y20" i="41"/>
  <c r="BZC15" i="41"/>
  <c r="BZD15" i="41" s="1"/>
  <c r="BZW15" i="43"/>
  <c r="BZX15" i="43" s="1"/>
  <c r="AK15" i="43"/>
  <c r="AD20" i="43"/>
  <c r="AG15" i="37"/>
  <c r="Z20" i="37"/>
  <c r="BZG15" i="37"/>
  <c r="BZH15" i="37" s="1"/>
  <c r="AH15" i="43"/>
  <c r="AA20" i="43"/>
  <c r="BZK15" i="43"/>
  <c r="BZL15" i="43" s="1"/>
  <c r="Z20" i="41"/>
  <c r="BZG15" i="41"/>
  <c r="BZH15" i="41" s="1"/>
  <c r="AG15" i="41"/>
  <c r="BZJ61" i="43"/>
  <c r="L60" i="43" s="1"/>
  <c r="BZC15" i="43"/>
  <c r="BZD15" i="43" s="1"/>
  <c r="AF15" i="43"/>
  <c r="Y20" i="43"/>
  <c r="BYY15" i="41"/>
  <c r="X20" i="41"/>
  <c r="AE15" i="41"/>
  <c r="BZJ60" i="41"/>
  <c r="L59" i="41" s="1"/>
  <c r="BZJ61" i="41"/>
  <c r="L60" i="41" s="1"/>
  <c r="BZJ57" i="41"/>
  <c r="L56" i="41" s="1"/>
  <c r="BZJ55" i="41"/>
  <c r="L54" i="41" s="1"/>
  <c r="BZJ56" i="41"/>
  <c r="L55" i="41" s="1"/>
  <c r="BZJ54" i="41"/>
  <c r="BZJ58" i="41"/>
  <c r="L57" i="41" s="1"/>
  <c r="BZJ59" i="41"/>
  <c r="L58" i="41" s="1"/>
  <c r="BZG15" i="39"/>
  <c r="BZH15" i="39" s="1"/>
  <c r="AG15" i="39"/>
  <c r="Z20" i="39"/>
  <c r="X20" i="43"/>
  <c r="BZJ60" i="43"/>
  <c r="L59" i="43" s="1"/>
  <c r="BZJ54" i="43"/>
  <c r="BZJ55" i="43"/>
  <c r="L54" i="43" s="1"/>
  <c r="BZJ59" i="43"/>
  <c r="L58" i="43" s="1"/>
  <c r="AE15" i="43"/>
  <c r="BYY15" i="43"/>
  <c r="BZJ58" i="43"/>
  <c r="L57" i="43" s="1"/>
  <c r="BZJ56" i="43"/>
  <c r="L55" i="43" s="1"/>
  <c r="BZJ57" i="43"/>
  <c r="L56" i="43" s="1"/>
  <c r="BZJ62" i="43"/>
  <c r="AC20" i="41"/>
  <c r="AJ15" i="41"/>
  <c r="BZS15" i="41"/>
  <c r="BZT15" i="41" s="1"/>
  <c r="AP69" i="23"/>
  <c r="AL21" i="23"/>
  <c r="D71" i="33" s="1"/>
  <c r="AA43" i="23"/>
  <c r="AB43" i="23"/>
  <c r="AC43" i="23"/>
  <c r="AD43" i="23"/>
  <c r="AE43" i="23"/>
  <c r="AF43" i="23"/>
  <c r="AG43" i="23"/>
  <c r="AH43" i="23"/>
  <c r="AI43" i="23"/>
  <c r="AJ43" i="23"/>
  <c r="AK43" i="23"/>
  <c r="AM43" i="23"/>
  <c r="AO43" i="23"/>
  <c r="N48" i="23"/>
  <c r="L48" i="23"/>
  <c r="AL39" i="43" l="1"/>
  <c r="AL26" i="43"/>
  <c r="AL35" i="43"/>
  <c r="AL40" i="43"/>
  <c r="AL42" i="43"/>
  <c r="AL33" i="41"/>
  <c r="AL30" i="41"/>
  <c r="AL29" i="41"/>
  <c r="AL40" i="41"/>
  <c r="AL26" i="41"/>
  <c r="AL42" i="41"/>
  <c r="AL24" i="41"/>
  <c r="AL32" i="41"/>
  <c r="AL35" i="41"/>
  <c r="AL37" i="41"/>
  <c r="AL39" i="41"/>
  <c r="AL28" i="41"/>
  <c r="AL40" i="37"/>
  <c r="AL32" i="37"/>
  <c r="AL39" i="37"/>
  <c r="AL26" i="37"/>
  <c r="AL30" i="37"/>
  <c r="AL29" i="37"/>
  <c r="AL33" i="37"/>
  <c r="AL35" i="37"/>
  <c r="AL24" i="37"/>
  <c r="E16" i="33" s="1"/>
  <c r="AL42" i="37"/>
  <c r="AL28" i="37"/>
  <c r="AL37" i="37"/>
  <c r="AL40" i="39"/>
  <c r="AL33" i="39"/>
  <c r="AL39" i="39"/>
  <c r="AL29" i="39"/>
  <c r="AL28" i="39"/>
  <c r="AL24" i="39"/>
  <c r="AL42" i="39"/>
  <c r="AL32" i="39"/>
  <c r="AL30" i="39"/>
  <c r="AL35" i="39"/>
  <c r="AL37" i="39"/>
  <c r="AL26" i="39"/>
  <c r="CAB38" i="41"/>
  <c r="CAB37" i="41"/>
  <c r="CAB37" i="37"/>
  <c r="CAB38" i="37"/>
  <c r="CAB38" i="39"/>
  <c r="CAB37" i="39"/>
  <c r="CAB38" i="43"/>
  <c r="CAB37" i="43"/>
  <c r="L62" i="41"/>
  <c r="M62" i="39"/>
  <c r="L62" i="39"/>
  <c r="M62" i="37"/>
  <c r="L62" i="37"/>
  <c r="X43" i="37"/>
  <c r="X43" i="39"/>
  <c r="CAC26" i="43"/>
  <c r="CAC38" i="43"/>
  <c r="CAB29" i="43"/>
  <c r="CAC25" i="43"/>
  <c r="CAB31" i="43"/>
  <c r="CAB26" i="43"/>
  <c r="CAC33" i="43"/>
  <c r="CAB33" i="43"/>
  <c r="CAC29" i="43"/>
  <c r="CAB24" i="43"/>
  <c r="CAB32" i="43"/>
  <c r="CAC32" i="43"/>
  <c r="CAC37" i="43"/>
  <c r="CAC35" i="43"/>
  <c r="CAC27" i="43"/>
  <c r="CAC24" i="43"/>
  <c r="CAB34" i="43"/>
  <c r="CAC28" i="43"/>
  <c r="CAC34" i="43"/>
  <c r="CAC31" i="43"/>
  <c r="CAB35" i="43"/>
  <c r="CAB25" i="43"/>
  <c r="CAB27" i="43"/>
  <c r="CAB28" i="43"/>
  <c r="BYZ15" i="43"/>
  <c r="CAB30" i="43"/>
  <c r="CAC30" i="43"/>
  <c r="W30" i="39"/>
  <c r="P25" i="40" s="1"/>
  <c r="W23" i="39"/>
  <c r="P18" i="40" s="1"/>
  <c r="W25" i="39"/>
  <c r="P20" i="40" s="1"/>
  <c r="W27" i="39"/>
  <c r="P22" i="40" s="1"/>
  <c r="W29" i="39"/>
  <c r="P24" i="40" s="1"/>
  <c r="W24" i="39"/>
  <c r="P19" i="40" s="1"/>
  <c r="W38" i="39"/>
  <c r="P33" i="40" s="1"/>
  <c r="W28" i="39"/>
  <c r="P23" i="40" s="1"/>
  <c r="W41" i="39"/>
  <c r="P36" i="40" s="1"/>
  <c r="W39" i="39"/>
  <c r="P34" i="40" s="1"/>
  <c r="W26" i="39"/>
  <c r="P21" i="40" s="1"/>
  <c r="W35" i="39"/>
  <c r="P30" i="40" s="1"/>
  <c r="W33" i="39"/>
  <c r="P28" i="40" s="1"/>
  <c r="W36" i="39"/>
  <c r="P31" i="40" s="1"/>
  <c r="W40" i="39"/>
  <c r="P35" i="40" s="1"/>
  <c r="W31" i="39"/>
  <c r="P26" i="40" s="1"/>
  <c r="W34" i="39"/>
  <c r="P29" i="40" s="1"/>
  <c r="W42" i="39"/>
  <c r="P37" i="40" s="1"/>
  <c r="W32" i="39"/>
  <c r="P27" i="40" s="1"/>
  <c r="W37" i="39"/>
  <c r="P32" i="40" s="1"/>
  <c r="W29" i="37"/>
  <c r="P24" i="38" s="1"/>
  <c r="W30" i="37"/>
  <c r="P25" i="38" s="1"/>
  <c r="W27" i="37"/>
  <c r="P22" i="38" s="1"/>
  <c r="W26" i="37"/>
  <c r="P21" i="38" s="1"/>
  <c r="W28" i="37"/>
  <c r="P23" i="38" s="1"/>
  <c r="W34" i="37"/>
  <c r="P29" i="38" s="1"/>
  <c r="W31" i="37"/>
  <c r="P26" i="38" s="1"/>
  <c r="W41" i="37"/>
  <c r="P36" i="38" s="1"/>
  <c r="W36" i="37"/>
  <c r="P31" i="38" s="1"/>
  <c r="W35" i="37"/>
  <c r="P30" i="38" s="1"/>
  <c r="W42" i="37"/>
  <c r="P37" i="38" s="1"/>
  <c r="W25" i="37"/>
  <c r="P20" i="38" s="1"/>
  <c r="W23" i="37"/>
  <c r="P18" i="38" s="1"/>
  <c r="W40" i="37"/>
  <c r="P35" i="38" s="1"/>
  <c r="W32" i="37"/>
  <c r="P27" i="38" s="1"/>
  <c r="W39" i="37"/>
  <c r="P34" i="38" s="1"/>
  <c r="W37" i="37"/>
  <c r="P32" i="38" s="1"/>
  <c r="W24" i="37"/>
  <c r="P19" i="38" s="1"/>
  <c r="W38" i="37"/>
  <c r="P33" i="38" s="1"/>
  <c r="W33" i="37"/>
  <c r="P28" i="38" s="1"/>
  <c r="BYZ15" i="39"/>
  <c r="CAC27" i="39"/>
  <c r="CAC30" i="39"/>
  <c r="CAB32" i="39"/>
  <c r="CAB34" i="39"/>
  <c r="CAB25" i="39"/>
  <c r="CAC33" i="39"/>
  <c r="CAC32" i="39"/>
  <c r="CAB26" i="39"/>
  <c r="CAB28" i="39"/>
  <c r="CAC35" i="39"/>
  <c r="CAC38" i="39"/>
  <c r="CAB27" i="39"/>
  <c r="CAC24" i="39"/>
  <c r="CAC25" i="39"/>
  <c r="CAB24" i="39"/>
  <c r="CAC31" i="39"/>
  <c r="CAB35" i="39"/>
  <c r="CAC28" i="39"/>
  <c r="CAC34" i="39"/>
  <c r="CAC26" i="39"/>
  <c r="CAB29" i="39"/>
  <c r="CAB33" i="39"/>
  <c r="CAB31" i="39"/>
  <c r="CAB30" i="39"/>
  <c r="CAC37" i="39"/>
  <c r="CAC29" i="39"/>
  <c r="BZJ63" i="43"/>
  <c r="L53" i="43"/>
  <c r="BZJ63" i="41"/>
  <c r="L53" i="41"/>
  <c r="CAC24" i="37"/>
  <c r="CAC26" i="37"/>
  <c r="CAB29" i="37"/>
  <c r="CAB28" i="37"/>
  <c r="CAB27" i="37"/>
  <c r="CAB24" i="37"/>
  <c r="CAB33" i="37"/>
  <c r="CAB30" i="37"/>
  <c r="CAB26" i="37"/>
  <c r="CAB35" i="37"/>
  <c r="CAB32" i="37"/>
  <c r="CAC32" i="37"/>
  <c r="CAC28" i="37"/>
  <c r="CAC35" i="37"/>
  <c r="CAC33" i="37"/>
  <c r="CAC27" i="37"/>
  <c r="CAB25" i="37"/>
  <c r="BYZ15" i="37"/>
  <c r="CAC29" i="37"/>
  <c r="CAC37" i="37"/>
  <c r="CAC34" i="37"/>
  <c r="CAC30" i="37"/>
  <c r="CAC31" i="37"/>
  <c r="CAC25" i="37"/>
  <c r="CAB31" i="37"/>
  <c r="CAB34" i="37"/>
  <c r="CAC38" i="37"/>
  <c r="X43" i="41"/>
  <c r="W40" i="43"/>
  <c r="P35" i="44" s="1"/>
  <c r="W41" i="43"/>
  <c r="P36" i="44" s="1"/>
  <c r="W39" i="43"/>
  <c r="P34" i="44" s="1"/>
  <c r="W34" i="43"/>
  <c r="P29" i="44" s="1"/>
  <c r="W38" i="43"/>
  <c r="P33" i="44" s="1"/>
  <c r="W26" i="43"/>
  <c r="P21" i="44" s="1"/>
  <c r="W29" i="43"/>
  <c r="P24" i="44" s="1"/>
  <c r="W36" i="43"/>
  <c r="P31" i="44" s="1"/>
  <c r="W31" i="43"/>
  <c r="P26" i="44" s="1"/>
  <c r="W30" i="43"/>
  <c r="P25" i="44" s="1"/>
  <c r="W27" i="43"/>
  <c r="P22" i="44" s="1"/>
  <c r="W33" i="43"/>
  <c r="P28" i="44" s="1"/>
  <c r="W24" i="43"/>
  <c r="P19" i="44" s="1"/>
  <c r="W28" i="43"/>
  <c r="P23" i="44" s="1"/>
  <c r="W35" i="43"/>
  <c r="P30" i="44" s="1"/>
  <c r="W23" i="43"/>
  <c r="P18" i="44" s="1"/>
  <c r="W25" i="43"/>
  <c r="P20" i="44" s="1"/>
  <c r="W32" i="43"/>
  <c r="P27" i="44" s="1"/>
  <c r="W37" i="43"/>
  <c r="P32" i="44" s="1"/>
  <c r="W42" i="43"/>
  <c r="P37" i="44" s="1"/>
  <c r="BZJ63" i="39"/>
  <c r="L53" i="39"/>
  <c r="X43" i="43"/>
  <c r="W40" i="41"/>
  <c r="P35" i="42" s="1"/>
  <c r="W25" i="41"/>
  <c r="P20" i="42" s="1"/>
  <c r="W24" i="41"/>
  <c r="P19" i="42" s="1"/>
  <c r="W27" i="41"/>
  <c r="P22" i="42" s="1"/>
  <c r="W28" i="41"/>
  <c r="P23" i="42" s="1"/>
  <c r="W34" i="41"/>
  <c r="P29" i="42" s="1"/>
  <c r="W37" i="41"/>
  <c r="P32" i="42" s="1"/>
  <c r="W36" i="41"/>
  <c r="P31" i="42" s="1"/>
  <c r="W41" i="41"/>
  <c r="P36" i="42" s="1"/>
  <c r="W39" i="41"/>
  <c r="P34" i="42" s="1"/>
  <c r="W23" i="41"/>
  <c r="P18" i="42" s="1"/>
  <c r="W29" i="41"/>
  <c r="P24" i="42" s="1"/>
  <c r="W30" i="41"/>
  <c r="P25" i="42" s="1"/>
  <c r="W33" i="41"/>
  <c r="P28" i="42" s="1"/>
  <c r="W31" i="41"/>
  <c r="P26" i="42" s="1"/>
  <c r="W38" i="41"/>
  <c r="P33" i="42" s="1"/>
  <c r="W35" i="41"/>
  <c r="P30" i="42" s="1"/>
  <c r="W42" i="41"/>
  <c r="P37" i="42" s="1"/>
  <c r="W26" i="41"/>
  <c r="P21" i="42" s="1"/>
  <c r="W32" i="41"/>
  <c r="P27" i="42" s="1"/>
  <c r="L62" i="43"/>
  <c r="M62" i="43"/>
  <c r="BYZ15" i="41"/>
  <c r="CAB24" i="41"/>
  <c r="CAB27" i="41"/>
  <c r="CAB25" i="41"/>
  <c r="CAB26" i="41"/>
  <c r="CAB35" i="41"/>
  <c r="CAC26" i="41"/>
  <c r="CAC25" i="41"/>
  <c r="CAB34" i="41"/>
  <c r="CAB28" i="41"/>
  <c r="CAC33" i="41"/>
  <c r="CAB33" i="41"/>
  <c r="CAC30" i="41"/>
  <c r="CAC29" i="41"/>
  <c r="CAB32" i="41"/>
  <c r="CAC24" i="41"/>
  <c r="CAC35" i="41"/>
  <c r="CAC32" i="41"/>
  <c r="CAB30" i="41"/>
  <c r="CAC34" i="41"/>
  <c r="CAC37" i="41"/>
  <c r="CAC27" i="41"/>
  <c r="CAC28" i="41"/>
  <c r="CAC38" i="41"/>
  <c r="CAC31" i="41"/>
  <c r="CAB29" i="41"/>
  <c r="CAB31" i="41"/>
  <c r="BZL15" i="41"/>
  <c r="L53" i="37"/>
  <c r="BZJ63" i="37"/>
  <c r="AP52" i="23"/>
  <c r="E48" i="33" l="1"/>
  <c r="G21" i="33"/>
  <c r="S24" i="42"/>
  <c r="AI24" i="42" s="1"/>
  <c r="G24" i="33"/>
  <c r="S27" i="42"/>
  <c r="S30" i="38"/>
  <c r="AI30" i="38" s="1"/>
  <c r="E27" i="33"/>
  <c r="E52" i="33" s="1"/>
  <c r="F24" i="33"/>
  <c r="S27" i="40"/>
  <c r="H27" i="33"/>
  <c r="H52" i="33" s="1"/>
  <c r="S30" i="44"/>
  <c r="AI30" i="44" s="1"/>
  <c r="M61" i="37"/>
  <c r="BZK53" i="37"/>
  <c r="L61" i="37"/>
  <c r="N49" i="37" s="1"/>
  <c r="BZJ53" i="37"/>
  <c r="N43" i="37"/>
  <c r="G27" i="33"/>
  <c r="G52" i="33" s="1"/>
  <c r="S30" i="42"/>
  <c r="AI30" i="42" s="1"/>
  <c r="S19" i="38"/>
  <c r="AI19" i="38" s="1"/>
  <c r="F25" i="33"/>
  <c r="S28" i="40"/>
  <c r="AI28" i="40" s="1"/>
  <c r="H18" i="33"/>
  <c r="H49" i="33" s="1"/>
  <c r="S21" i="44"/>
  <c r="G18" i="33"/>
  <c r="G49" i="33" s="1"/>
  <c r="S21" i="42"/>
  <c r="E20" i="33"/>
  <c r="S23" i="38"/>
  <c r="S24" i="40"/>
  <c r="AI24" i="40" s="1"/>
  <c r="F21" i="33"/>
  <c r="S19" i="44"/>
  <c r="AI19" i="44" s="1"/>
  <c r="H16" i="33"/>
  <c r="H48" i="33" s="1"/>
  <c r="S34" i="42"/>
  <c r="AI34" i="42" s="1"/>
  <c r="G31" i="33"/>
  <c r="E29" i="33"/>
  <c r="E53" i="33" s="1"/>
  <c r="S32" i="38"/>
  <c r="S21" i="40"/>
  <c r="F18" i="33"/>
  <c r="F49" i="33" s="1"/>
  <c r="H21" i="33"/>
  <c r="S24" i="44"/>
  <c r="AI24" i="44" s="1"/>
  <c r="S32" i="42"/>
  <c r="AI32" i="42" s="1"/>
  <c r="G29" i="33"/>
  <c r="G53" i="33" s="1"/>
  <c r="E24" i="33"/>
  <c r="S27" i="38"/>
  <c r="F32" i="33"/>
  <c r="S35" i="40"/>
  <c r="AI35" i="40" s="1"/>
  <c r="H24" i="33"/>
  <c r="S27" i="44"/>
  <c r="S28" i="38"/>
  <c r="AI28" i="38" s="1"/>
  <c r="E25" i="33"/>
  <c r="F31" i="33"/>
  <c r="S34" i="40"/>
  <c r="AI34" i="40" s="1"/>
  <c r="H29" i="33"/>
  <c r="H53" i="33" s="1"/>
  <c r="S32" i="44"/>
  <c r="AI32" i="44" s="1"/>
  <c r="S37" i="38"/>
  <c r="Q36" i="38" s="1"/>
  <c r="E34" i="33"/>
  <c r="E55" i="33" s="1"/>
  <c r="S23" i="40"/>
  <c r="F20" i="33"/>
  <c r="S34" i="44"/>
  <c r="H31" i="33"/>
  <c r="L61" i="41"/>
  <c r="N49" i="41" s="1"/>
  <c r="BZJ53" i="41"/>
  <c r="BZK53" i="41"/>
  <c r="N43" i="41"/>
  <c r="M61" i="41"/>
  <c r="G34" i="33"/>
  <c r="G55" i="33" s="1"/>
  <c r="S37" i="42"/>
  <c r="Q36" i="42" s="1"/>
  <c r="E21" i="33"/>
  <c r="S24" i="38"/>
  <c r="AI24" i="38" s="1"/>
  <c r="F16" i="33"/>
  <c r="F48" i="33" s="1"/>
  <c r="S19" i="40"/>
  <c r="AI19" i="40" s="1"/>
  <c r="H20" i="33"/>
  <c r="S23" i="44"/>
  <c r="AI23" i="44" s="1"/>
  <c r="S19" i="42"/>
  <c r="AI19" i="42" s="1"/>
  <c r="G16" i="33"/>
  <c r="G48" i="33" s="1"/>
  <c r="BZK53" i="39"/>
  <c r="M61" i="39"/>
  <c r="L61" i="39"/>
  <c r="N49" i="39" s="1"/>
  <c r="BZJ53" i="39"/>
  <c r="N43" i="39"/>
  <c r="E18" i="33"/>
  <c r="E49" i="33" s="1"/>
  <c r="S21" i="38"/>
  <c r="AI21" i="38" s="1"/>
  <c r="M61" i="43"/>
  <c r="L61" i="43"/>
  <c r="N49" i="43" s="1"/>
  <c r="N43" i="43"/>
  <c r="BZK53" i="43"/>
  <c r="BZJ53" i="43"/>
  <c r="F22" i="33"/>
  <c r="S25" i="40"/>
  <c r="AI25" i="40" s="1"/>
  <c r="S28" i="44"/>
  <c r="AI28" i="44" s="1"/>
  <c r="H25" i="33"/>
  <c r="S28" i="42"/>
  <c r="AI28" i="42" s="1"/>
  <c r="G25" i="33"/>
  <c r="S25" i="38"/>
  <c r="AI25" i="38" s="1"/>
  <c r="E22" i="33"/>
  <c r="F29" i="33"/>
  <c r="F53" i="33" s="1"/>
  <c r="S32" i="40"/>
  <c r="AI32" i="40" s="1"/>
  <c r="S37" i="44"/>
  <c r="H34" i="33"/>
  <c r="H55" i="33" s="1"/>
  <c r="S25" i="42"/>
  <c r="AI25" i="42" s="1"/>
  <c r="G22" i="33"/>
  <c r="S34" i="38"/>
  <c r="AI34" i="38" s="1"/>
  <c r="E31" i="33"/>
  <c r="F34" i="33"/>
  <c r="F55" i="33" s="1"/>
  <c r="S37" i="40"/>
  <c r="S35" i="44"/>
  <c r="AI35" i="44" s="1"/>
  <c r="H32" i="33"/>
  <c r="S23" i="42"/>
  <c r="AI23" i="42" s="1"/>
  <c r="G20" i="33"/>
  <c r="E32" i="33"/>
  <c r="S35" i="38"/>
  <c r="AI35" i="38" s="1"/>
  <c r="S30" i="40"/>
  <c r="AI30" i="40" s="1"/>
  <c r="F27" i="33"/>
  <c r="F52" i="33" s="1"/>
  <c r="S25" i="44"/>
  <c r="AI25" i="44" s="1"/>
  <c r="H22" i="33"/>
  <c r="G32" i="33"/>
  <c r="S35" i="42"/>
  <c r="L21" i="23"/>
  <c r="G50" i="33" l="1"/>
  <c r="H50" i="33"/>
  <c r="H54" i="33"/>
  <c r="F50" i="33"/>
  <c r="G54" i="33"/>
  <c r="H51" i="33"/>
  <c r="F51" i="33"/>
  <c r="E54" i="33"/>
  <c r="E51" i="33"/>
  <c r="G51" i="33"/>
  <c r="F54" i="33"/>
  <c r="E50" i="33"/>
  <c r="Q29" i="38"/>
  <c r="Q29" i="44"/>
  <c r="Q18" i="38"/>
  <c r="Q31" i="44"/>
  <c r="Q33" i="40"/>
  <c r="Q18" i="40"/>
  <c r="Q31" i="40"/>
  <c r="Q22" i="44"/>
  <c r="Q18" i="42"/>
  <c r="AI34" i="44"/>
  <c r="Q33" i="44"/>
  <c r="Q33" i="42"/>
  <c r="AI35" i="42"/>
  <c r="AI23" i="40"/>
  <c r="Q22" i="40"/>
  <c r="J39" i="39"/>
  <c r="J19" i="39"/>
  <c r="CAB22" i="39"/>
  <c r="Q26" i="42"/>
  <c r="AI27" i="42"/>
  <c r="BYY23" i="39"/>
  <c r="AI27" i="44"/>
  <c r="Q26" i="44"/>
  <c r="AI21" i="40"/>
  <c r="Q20" i="40"/>
  <c r="AI23" i="38"/>
  <c r="Q22" i="38"/>
  <c r="CAB22" i="37"/>
  <c r="J39" i="37"/>
  <c r="J19" i="37"/>
  <c r="Q29" i="42"/>
  <c r="Q20" i="38"/>
  <c r="Q29" i="40"/>
  <c r="BYY23" i="37"/>
  <c r="Q31" i="42"/>
  <c r="J39" i="43"/>
  <c r="J19" i="43"/>
  <c r="CAB22" i="43"/>
  <c r="AI37" i="38"/>
  <c r="T37" i="38"/>
  <c r="Q31" i="38"/>
  <c r="AI32" i="38"/>
  <c r="Q20" i="42"/>
  <c r="AI21" i="42"/>
  <c r="AI21" i="44"/>
  <c r="Q20" i="44"/>
  <c r="AI37" i="42"/>
  <c r="T37" i="42"/>
  <c r="AI37" i="44"/>
  <c r="T37" i="44"/>
  <c r="AI37" i="40"/>
  <c r="T37" i="40"/>
  <c r="Q36" i="40"/>
  <c r="CAB22" i="41"/>
  <c r="J19" i="41"/>
  <c r="J39" i="41"/>
  <c r="Q36" i="44"/>
  <c r="Q33" i="38"/>
  <c r="BYY23" i="43"/>
  <c r="BYY23" i="41"/>
  <c r="AI27" i="38"/>
  <c r="Q26" i="38"/>
  <c r="Q18" i="44"/>
  <c r="Q22" i="42"/>
  <c r="AI27" i="40"/>
  <c r="Q26" i="40"/>
  <c r="J20" i="23"/>
  <c r="K14" i="30"/>
  <c r="K47" i="23"/>
  <c r="AD23" i="23"/>
  <c r="AD24" i="23"/>
  <c r="AD25" i="23"/>
  <c r="BZX25" i="23" s="1"/>
  <c r="AD27" i="23"/>
  <c r="AD28" i="23"/>
  <c r="BZX26" i="23" s="1"/>
  <c r="AD29" i="23"/>
  <c r="BZX27" i="23" s="1"/>
  <c r="AD30" i="23"/>
  <c r="AD31" i="23"/>
  <c r="AD33" i="23"/>
  <c r="AD34" i="23"/>
  <c r="AD35" i="23"/>
  <c r="AD36" i="23"/>
  <c r="AD37" i="23"/>
  <c r="AD38" i="23"/>
  <c r="AD39" i="23"/>
  <c r="AD41" i="23"/>
  <c r="AD42" i="23"/>
  <c r="D37" i="30"/>
  <c r="C37" i="30"/>
  <c r="D35" i="30"/>
  <c r="C35" i="30"/>
  <c r="D34" i="30"/>
  <c r="C34" i="30"/>
  <c r="D32" i="30"/>
  <c r="C32" i="30"/>
  <c r="D30" i="30"/>
  <c r="C30" i="30"/>
  <c r="D28" i="30"/>
  <c r="C28" i="30"/>
  <c r="D27" i="30"/>
  <c r="C27" i="30"/>
  <c r="D25" i="30"/>
  <c r="C25" i="30"/>
  <c r="D24" i="30"/>
  <c r="C24" i="30"/>
  <c r="D23" i="30"/>
  <c r="C23" i="30"/>
  <c r="D21" i="30"/>
  <c r="C21" i="30"/>
  <c r="D36" i="30"/>
  <c r="C36" i="30"/>
  <c r="D33" i="30"/>
  <c r="C33" i="30"/>
  <c r="D31" i="30"/>
  <c r="C31" i="30"/>
  <c r="D29" i="30"/>
  <c r="C29" i="30"/>
  <c r="D26" i="30"/>
  <c r="C26" i="30"/>
  <c r="D22" i="30"/>
  <c r="C22" i="30"/>
  <c r="D20" i="30"/>
  <c r="C20" i="30"/>
  <c r="D19" i="30"/>
  <c r="C19" i="30"/>
  <c r="D18" i="30"/>
  <c r="C18" i="30"/>
  <c r="BZX31" i="23" l="1"/>
  <c r="BZX35" i="23"/>
  <c r="BZX30" i="23"/>
  <c r="E57" i="33"/>
  <c r="E13" i="33" s="1"/>
  <c r="E47" i="33" s="1"/>
  <c r="F57" i="33"/>
  <c r="F58" i="33" s="1"/>
  <c r="G57" i="33"/>
  <c r="G13" i="33" s="1"/>
  <c r="G47" i="33" s="1"/>
  <c r="C17" i="42" s="1"/>
  <c r="H57" i="33"/>
  <c r="H58" i="33" s="1"/>
  <c r="BZX28" i="23"/>
  <c r="BZX24" i="23"/>
  <c r="BZX33" i="23"/>
  <c r="BZX32" i="23"/>
  <c r="Q38" i="44"/>
  <c r="Q40" i="44" s="1"/>
  <c r="N5" i="44" s="1"/>
  <c r="Q38" i="42"/>
  <c r="Q40" i="42" s="1"/>
  <c r="N5" i="42" s="1"/>
  <c r="Q38" i="40"/>
  <c r="Q40" i="40" s="1"/>
  <c r="N5" i="40" s="1"/>
  <c r="Q38" i="38"/>
  <c r="Q40" i="38" s="1"/>
  <c r="Q41" i="38" s="1"/>
  <c r="BZN64" i="23"/>
  <c r="BZK15" i="23" s="1"/>
  <c r="BZL15" i="23" s="1"/>
  <c r="BZP64" i="23"/>
  <c r="BZS15" i="23" s="1"/>
  <c r="BZT15" i="23" s="1"/>
  <c r="BZM64" i="23"/>
  <c r="BZG15" i="23" s="1"/>
  <c r="BZH15" i="23" s="1"/>
  <c r="BZO64" i="23"/>
  <c r="BZO15" i="23" s="1"/>
  <c r="BZP15" i="23" s="1"/>
  <c r="BZQ64" i="23"/>
  <c r="BZW15" i="23" s="1"/>
  <c r="BZX15" i="23" s="1"/>
  <c r="BZK64" i="23"/>
  <c r="BYY15" i="23" s="1"/>
  <c r="BZL64" i="23"/>
  <c r="BZC15" i="23" s="1"/>
  <c r="BZD15" i="23" s="1"/>
  <c r="AD21" i="23"/>
  <c r="C17" i="38" l="1"/>
  <c r="C17" i="40"/>
  <c r="F13" i="33"/>
  <c r="F47" i="33" s="1"/>
  <c r="H13" i="33"/>
  <c r="H47" i="33" s="1"/>
  <c r="C17" i="44" s="1"/>
  <c r="E58" i="33"/>
  <c r="G58" i="33"/>
  <c r="BYZ15" i="23"/>
  <c r="Q41" i="44"/>
  <c r="Q41" i="42"/>
  <c r="Q41" i="40"/>
  <c r="N5" i="38"/>
  <c r="AK15" i="23"/>
  <c r="AD20" i="23"/>
  <c r="N54" i="23"/>
  <c r="N60" i="23" l="1"/>
  <c r="N59" i="23"/>
  <c r="N58" i="23"/>
  <c r="N57" i="23"/>
  <c r="N56" i="23"/>
  <c r="N55" i="23"/>
  <c r="N53" i="23"/>
  <c r="AC42" i="23"/>
  <c r="AB42" i="23"/>
  <c r="AA42" i="23"/>
  <c r="Z42" i="23"/>
  <c r="BZH35" i="23" s="1"/>
  <c r="Y42" i="23"/>
  <c r="BZD35" i="23" s="1"/>
  <c r="X42" i="23"/>
  <c r="AC41" i="23"/>
  <c r="AB41" i="23"/>
  <c r="AA41" i="23"/>
  <c r="Z41" i="23"/>
  <c r="Y41" i="23"/>
  <c r="X41" i="23"/>
  <c r="G40" i="23"/>
  <c r="BZP34" i="23" s="1"/>
  <c r="F40" i="23"/>
  <c r="E40" i="23"/>
  <c r="E22" i="23" s="1"/>
  <c r="D40" i="23"/>
  <c r="C40" i="23"/>
  <c r="B40" i="23"/>
  <c r="AC39" i="23"/>
  <c r="AB39" i="23"/>
  <c r="AA39" i="23"/>
  <c r="Z39" i="23"/>
  <c r="Y39" i="23"/>
  <c r="X39" i="23"/>
  <c r="BYZ33" i="23" s="1"/>
  <c r="AC38" i="23"/>
  <c r="AB38" i="23"/>
  <c r="AA38" i="23"/>
  <c r="Z38" i="23"/>
  <c r="Y38" i="23"/>
  <c r="X38" i="23"/>
  <c r="AC37" i="23"/>
  <c r="AB37" i="23"/>
  <c r="AA37" i="23"/>
  <c r="Z37" i="23"/>
  <c r="Y37" i="23"/>
  <c r="X37" i="23"/>
  <c r="BYZ32" i="23" s="1"/>
  <c r="AC36" i="23"/>
  <c r="AB36" i="23"/>
  <c r="AA36" i="23"/>
  <c r="BZL32" i="23" s="1"/>
  <c r="Z36" i="23"/>
  <c r="BZH32" i="23" s="1"/>
  <c r="Y36" i="23"/>
  <c r="X36" i="23"/>
  <c r="AC35" i="23"/>
  <c r="AB35" i="23"/>
  <c r="AA35" i="23"/>
  <c r="Z35" i="23"/>
  <c r="Y35" i="23"/>
  <c r="X35" i="23"/>
  <c r="BYZ31" i="23" s="1"/>
  <c r="AC34" i="23"/>
  <c r="AB34" i="23"/>
  <c r="AA34" i="23"/>
  <c r="BZL31" i="23" s="1"/>
  <c r="Z34" i="23"/>
  <c r="Y34" i="23"/>
  <c r="BZD31" i="23" s="1"/>
  <c r="X34" i="23"/>
  <c r="AC33" i="23"/>
  <c r="AB33" i="23"/>
  <c r="AA33" i="23"/>
  <c r="Z33" i="23"/>
  <c r="Y33" i="23"/>
  <c r="X33" i="23"/>
  <c r="AA32" i="23"/>
  <c r="G32" i="23"/>
  <c r="BZP29" i="23" s="1"/>
  <c r="F32" i="23"/>
  <c r="D32" i="23"/>
  <c r="C32" i="23"/>
  <c r="B32" i="23"/>
  <c r="AC31" i="23"/>
  <c r="AB31" i="23"/>
  <c r="AA31" i="23"/>
  <c r="Z31" i="23"/>
  <c r="Y31" i="23"/>
  <c r="X31" i="23"/>
  <c r="AC30" i="23"/>
  <c r="AB30" i="23"/>
  <c r="AA30" i="23"/>
  <c r="BZL28" i="23" s="1"/>
  <c r="Z30" i="23"/>
  <c r="BZH28" i="23" s="1"/>
  <c r="Y30" i="23"/>
  <c r="BZD28" i="23" s="1"/>
  <c r="X30" i="23"/>
  <c r="AC29" i="23"/>
  <c r="AB29" i="23"/>
  <c r="AA29" i="23"/>
  <c r="Z29" i="23"/>
  <c r="Y29" i="23"/>
  <c r="X29" i="23"/>
  <c r="AC28" i="23"/>
  <c r="BZT26" i="23" s="1"/>
  <c r="AB28" i="23"/>
  <c r="AA28" i="23"/>
  <c r="BZL26" i="23" s="1"/>
  <c r="Z28" i="23"/>
  <c r="BZH26" i="23" s="1"/>
  <c r="Y28" i="23"/>
  <c r="BZD26" i="23" s="1"/>
  <c r="X28" i="23"/>
  <c r="AC27" i="23"/>
  <c r="AB27" i="23"/>
  <c r="AA27" i="23"/>
  <c r="Z27" i="23"/>
  <c r="Y27" i="23"/>
  <c r="X27" i="23"/>
  <c r="AC26" i="23"/>
  <c r="AB26" i="23"/>
  <c r="AA26" i="23"/>
  <c r="Z26" i="23"/>
  <c r="Y26" i="23"/>
  <c r="BZD25" i="23" s="1"/>
  <c r="X26" i="23"/>
  <c r="AC25" i="23"/>
  <c r="AB25" i="23"/>
  <c r="AA25" i="23"/>
  <c r="Z25" i="23"/>
  <c r="Y25" i="23"/>
  <c r="X25" i="23"/>
  <c r="AC24" i="23"/>
  <c r="AB24" i="23"/>
  <c r="AA24" i="23"/>
  <c r="BZL24" i="23" s="1"/>
  <c r="Z24" i="23"/>
  <c r="BZH24" i="23" s="1"/>
  <c r="Y24" i="23"/>
  <c r="X24" i="23"/>
  <c r="AC23" i="23"/>
  <c r="AB23" i="23"/>
  <c r="AA23" i="23"/>
  <c r="Z23" i="23"/>
  <c r="Y23" i="23"/>
  <c r="X23" i="23"/>
  <c r="G21" i="23"/>
  <c r="F21" i="23"/>
  <c r="E21" i="23"/>
  <c r="D21" i="23"/>
  <c r="C21" i="23"/>
  <c r="B21" i="23"/>
  <c r="BZH27" i="23" l="1"/>
  <c r="BZT25" i="23"/>
  <c r="BZT28" i="23"/>
  <c r="BZT24" i="23"/>
  <c r="BZL29" i="23"/>
  <c r="BYZ27" i="23"/>
  <c r="BYZ30" i="23"/>
  <c r="BZD24" i="23"/>
  <c r="BZD27" i="23"/>
  <c r="BZD30" i="23"/>
  <c r="BZD32" i="23"/>
  <c r="BZD33" i="23"/>
  <c r="BZH25" i="23"/>
  <c r="BZH30" i="23"/>
  <c r="BZH31" i="23"/>
  <c r="BZH33" i="23"/>
  <c r="BZL27" i="23"/>
  <c r="BZL30" i="23"/>
  <c r="BZL35" i="23"/>
  <c r="BZL25" i="23"/>
  <c r="BZT27" i="23"/>
  <c r="BZT30" i="23"/>
  <c r="BZT31" i="23"/>
  <c r="BZT32" i="23"/>
  <c r="BZT35" i="23"/>
  <c r="BYZ24" i="23"/>
  <c r="BYZ25" i="23"/>
  <c r="BYZ26" i="23"/>
  <c r="BYZ28" i="23"/>
  <c r="BYZ35" i="23"/>
  <c r="BZT33" i="23"/>
  <c r="BZL33" i="23"/>
  <c r="Z43" i="23"/>
  <c r="CAC37" i="23"/>
  <c r="F22" i="23"/>
  <c r="C22" i="23"/>
  <c r="D22" i="23"/>
  <c r="B22" i="23"/>
  <c r="AC21" i="23"/>
  <c r="G22" i="23"/>
  <c r="Z21" i="23"/>
  <c r="AE15" i="23"/>
  <c r="X20" i="23"/>
  <c r="AC20" i="23"/>
  <c r="AJ15" i="23"/>
  <c r="AB20" i="23"/>
  <c r="AI15" i="23"/>
  <c r="AA20" i="23"/>
  <c r="AH15" i="23"/>
  <c r="Z20" i="23"/>
  <c r="AG15" i="23"/>
  <c r="AF15" i="23"/>
  <c r="Y20" i="23"/>
  <c r="AB21" i="23"/>
  <c r="AA21" i="23"/>
  <c r="Y21" i="23"/>
  <c r="X21" i="23"/>
  <c r="W26" i="23" l="1"/>
  <c r="CAC27" i="23"/>
  <c r="CAC26" i="23"/>
  <c r="CAC33" i="23"/>
  <c r="CAC31" i="23"/>
  <c r="CAC30" i="23"/>
  <c r="CAC24" i="23"/>
  <c r="CAC35" i="23"/>
  <c r="CAC28" i="23"/>
  <c r="CAC25" i="23"/>
  <c r="CAC32" i="23"/>
  <c r="W38" i="23"/>
  <c r="P33" i="30" s="1"/>
  <c r="W31" i="23"/>
  <c r="P26" i="30" s="1"/>
  <c r="W27" i="23"/>
  <c r="P22" i="30" s="1"/>
  <c r="W30" i="23"/>
  <c r="P25" i="30" s="1"/>
  <c r="W36" i="23"/>
  <c r="P31" i="30" s="1"/>
  <c r="P21" i="30"/>
  <c r="W42" i="23"/>
  <c r="P37" i="30" s="1"/>
  <c r="W29" i="23"/>
  <c r="P24" i="30" s="1"/>
  <c r="W34" i="23"/>
  <c r="P29" i="30" s="1"/>
  <c r="W28" i="23"/>
  <c r="P23" i="30" s="1"/>
  <c r="W39" i="23"/>
  <c r="P34" i="30" s="1"/>
  <c r="W37" i="23"/>
  <c r="P32" i="30" s="1"/>
  <c r="W24" i="23"/>
  <c r="P19" i="30" s="1"/>
  <c r="W25" i="23"/>
  <c r="P20" i="30" s="1"/>
  <c r="AN25" i="37" s="1"/>
  <c r="W41" i="23"/>
  <c r="P36" i="30" s="1"/>
  <c r="W35" i="23"/>
  <c r="P30" i="30" s="1"/>
  <c r="W23" i="23"/>
  <c r="P18" i="30" s="1"/>
  <c r="AN23" i="37" s="1"/>
  <c r="W33" i="23"/>
  <c r="P28" i="30" s="1"/>
  <c r="AN31" i="39" l="1"/>
  <c r="AN31" i="37"/>
  <c r="AN31" i="43"/>
  <c r="AN31" i="41"/>
  <c r="AN38" i="39"/>
  <c r="AN38" i="43"/>
  <c r="AN38" i="37"/>
  <c r="AN38" i="41"/>
  <c r="AN37" i="39"/>
  <c r="AN37" i="43"/>
  <c r="AN37" i="37"/>
  <c r="AN37" i="41"/>
  <c r="AN29" i="41"/>
  <c r="AN29" i="39"/>
  <c r="AN29" i="37"/>
  <c r="AN29" i="43"/>
  <c r="AN39" i="43"/>
  <c r="AN39" i="37"/>
  <c r="AN39" i="41"/>
  <c r="AN39" i="39"/>
  <c r="AN42" i="43"/>
  <c r="AN42" i="37"/>
  <c r="AN42" i="41"/>
  <c r="AN42" i="39"/>
  <c r="AN24" i="43"/>
  <c r="AN24" i="41"/>
  <c r="AN24" i="39"/>
  <c r="AN24" i="37"/>
  <c r="AP23" i="37" s="1"/>
  <c r="AN26" i="37"/>
  <c r="AP25" i="37" s="1"/>
  <c r="AN26" i="43"/>
  <c r="AN26" i="41"/>
  <c r="AN26" i="39"/>
  <c r="AN33" i="43"/>
  <c r="AN33" i="41"/>
  <c r="AN33" i="37"/>
  <c r="AN33" i="39"/>
  <c r="AN36" i="41"/>
  <c r="AN36" i="39"/>
  <c r="AN36" i="43"/>
  <c r="AN36" i="37"/>
  <c r="AN28" i="39"/>
  <c r="AN28" i="37"/>
  <c r="AN28" i="43"/>
  <c r="AN28" i="41"/>
  <c r="AN35" i="43"/>
  <c r="AN35" i="39"/>
  <c r="AN35" i="41"/>
  <c r="AN35" i="37"/>
  <c r="AN30" i="43"/>
  <c r="AN30" i="41"/>
  <c r="AN30" i="39"/>
  <c r="AN30" i="37"/>
  <c r="AN25" i="43"/>
  <c r="AN25" i="41"/>
  <c r="AN25" i="39"/>
  <c r="AN34" i="43"/>
  <c r="AN34" i="41"/>
  <c r="AN34" i="39"/>
  <c r="AP34" i="39" s="1"/>
  <c r="AN34" i="37"/>
  <c r="AN23" i="41"/>
  <c r="AP23" i="41" s="1"/>
  <c r="AN23" i="39"/>
  <c r="AN23" i="43"/>
  <c r="AN41" i="39"/>
  <c r="AN41" i="43"/>
  <c r="AN41" i="37"/>
  <c r="AN41" i="41"/>
  <c r="AN27" i="37"/>
  <c r="AN27" i="43"/>
  <c r="AN27" i="41"/>
  <c r="AP27" i="41" s="1"/>
  <c r="AN27" i="39"/>
  <c r="AP27" i="39" s="1"/>
  <c r="AN39" i="23"/>
  <c r="AN25" i="23"/>
  <c r="AN24" i="23"/>
  <c r="AN29" i="23"/>
  <c r="AN31" i="23"/>
  <c r="AN28" i="23"/>
  <c r="AN42" i="23"/>
  <c r="AN38" i="23"/>
  <c r="AN33" i="23"/>
  <c r="AN26" i="23"/>
  <c r="AN27" i="23"/>
  <c r="AN23" i="23"/>
  <c r="AN36" i="23"/>
  <c r="AN37" i="23"/>
  <c r="AN34" i="23"/>
  <c r="AN35" i="23"/>
  <c r="AN30" i="23"/>
  <c r="AN41" i="23"/>
  <c r="B155" i="14"/>
  <c r="B154" i="14"/>
  <c r="B156" i="14" s="1"/>
  <c r="B143" i="14"/>
  <c r="B133" i="14"/>
  <c r="B132" i="14"/>
  <c r="B122" i="14"/>
  <c r="B121" i="14"/>
  <c r="B111" i="14"/>
  <c r="B110" i="14"/>
  <c r="B100" i="14"/>
  <c r="B99" i="14"/>
  <c r="B88" i="14"/>
  <c r="B78" i="14"/>
  <c r="B77" i="14"/>
  <c r="B67" i="14"/>
  <c r="B66" i="14"/>
  <c r="B56" i="14"/>
  <c r="B55" i="14"/>
  <c r="B45" i="14"/>
  <c r="B44" i="14"/>
  <c r="B34" i="14"/>
  <c r="B33" i="14"/>
  <c r="B25" i="14"/>
  <c r="B17" i="14"/>
  <c r="B6" i="14"/>
  <c r="H155" i="14"/>
  <c r="H154" i="14"/>
  <c r="H156" i="14" s="1"/>
  <c r="H143" i="14"/>
  <c r="H133" i="14"/>
  <c r="H132" i="14"/>
  <c r="H122" i="14"/>
  <c r="H121" i="14"/>
  <c r="H123" i="14" s="1"/>
  <c r="H111" i="14"/>
  <c r="H110" i="14"/>
  <c r="H100" i="14"/>
  <c r="H99" i="14"/>
  <c r="H101" i="14" s="1"/>
  <c r="H88" i="14"/>
  <c r="H78" i="14"/>
  <c r="H77" i="14"/>
  <c r="H67" i="14"/>
  <c r="H66" i="14"/>
  <c r="H56" i="14"/>
  <c r="H55" i="14"/>
  <c r="H57" i="14" s="1"/>
  <c r="H45" i="14"/>
  <c r="H44" i="14"/>
  <c r="H46" i="14" s="1"/>
  <c r="H34" i="14"/>
  <c r="H33" i="14"/>
  <c r="H25" i="14"/>
  <c r="H17" i="14"/>
  <c r="H6" i="14"/>
  <c r="AP23" i="39" l="1"/>
  <c r="AP27" i="43"/>
  <c r="AP23" i="43"/>
  <c r="AP27" i="37"/>
  <c r="AP25" i="43"/>
  <c r="AP34" i="41"/>
  <c r="AP34" i="43"/>
  <c r="AP41" i="41"/>
  <c r="AP25" i="41"/>
  <c r="AP41" i="37"/>
  <c r="AP36" i="37"/>
  <c r="AP41" i="39"/>
  <c r="AP36" i="41"/>
  <c r="AP25" i="39"/>
  <c r="AP41" i="43"/>
  <c r="AP36" i="43"/>
  <c r="AP36" i="39"/>
  <c r="AP34" i="37"/>
  <c r="H7" i="14"/>
  <c r="B112" i="14"/>
  <c r="B79" i="14"/>
  <c r="B144" i="14"/>
  <c r="X40" i="23"/>
  <c r="BYZ34" i="23" s="1"/>
  <c r="H112" i="14"/>
  <c r="B101" i="14"/>
  <c r="H89" i="14"/>
  <c r="H90" i="14" s="1"/>
  <c r="AD32" i="23"/>
  <c r="BZX29" i="23" s="1"/>
  <c r="H68" i="14"/>
  <c r="B7" i="14"/>
  <c r="H35" i="14"/>
  <c r="H79" i="14"/>
  <c r="B89" i="14"/>
  <c r="B90" i="14" s="1"/>
  <c r="X32" i="23"/>
  <c r="BYZ29" i="23" s="1"/>
  <c r="B68" i="14"/>
  <c r="B57" i="14"/>
  <c r="B35" i="14"/>
  <c r="B46" i="14"/>
  <c r="B123" i="14"/>
  <c r="B134" i="14"/>
  <c r="H144" i="14"/>
  <c r="H145" i="14" s="1"/>
  <c r="AD40" i="23"/>
  <c r="BZX34" i="23" s="1"/>
  <c r="H134" i="14"/>
  <c r="B145" i="14"/>
  <c r="BZX37" i="23" l="1"/>
  <c r="CAC38" i="23" s="1"/>
  <c r="BYZ37" i="23"/>
  <c r="X22" i="23"/>
  <c r="AD22" i="23"/>
  <c r="K58" i="14" l="1"/>
  <c r="K69" i="14"/>
  <c r="K80" i="14"/>
  <c r="K91" i="14"/>
  <c r="K135" i="14"/>
  <c r="K157" i="14"/>
  <c r="K146" i="14"/>
  <c r="K124" i="14"/>
  <c r="K113" i="14"/>
  <c r="K102" i="14"/>
  <c r="K47" i="14"/>
  <c r="K36" i="14"/>
  <c r="A129" i="14" l="1"/>
  <c r="A128" i="14"/>
  <c r="A127" i="14"/>
  <c r="A126" i="14"/>
  <c r="A125" i="14"/>
  <c r="A118" i="14"/>
  <c r="A117" i="14"/>
  <c r="A116" i="14"/>
  <c r="A115" i="14"/>
  <c r="A114" i="14"/>
  <c r="A107" i="14"/>
  <c r="A106" i="14"/>
  <c r="A105" i="14"/>
  <c r="A104" i="14"/>
  <c r="A103" i="14"/>
  <c r="A96" i="14"/>
  <c r="A95" i="14"/>
  <c r="A94" i="14"/>
  <c r="A93" i="14"/>
  <c r="A92" i="14"/>
  <c r="A85" i="14"/>
  <c r="A84" i="14"/>
  <c r="A83" i="14"/>
  <c r="A82" i="14"/>
  <c r="A81" i="14"/>
  <c r="A74" i="14"/>
  <c r="A73" i="14"/>
  <c r="A72" i="14"/>
  <c r="A71" i="14"/>
  <c r="A70" i="14"/>
  <c r="A63" i="14"/>
  <c r="A62" i="14"/>
  <c r="A61" i="14"/>
  <c r="A60" i="14"/>
  <c r="A59" i="14"/>
  <c r="A52" i="14"/>
  <c r="A51" i="14"/>
  <c r="A50" i="14"/>
  <c r="A49" i="14"/>
  <c r="A48" i="14"/>
  <c r="A38" i="14"/>
  <c r="A39" i="14"/>
  <c r="A40" i="14"/>
  <c r="A41" i="14"/>
  <c r="A37" i="14"/>
  <c r="C25" i="14"/>
  <c r="C144" i="14" s="1"/>
  <c r="D25" i="14"/>
  <c r="E25" i="14"/>
  <c r="E144" i="14" s="1"/>
  <c r="E145" i="14" s="1"/>
  <c r="F25" i="14"/>
  <c r="F144" i="14" s="1"/>
  <c r="G25" i="14"/>
  <c r="G144" i="14" s="1"/>
  <c r="C17" i="14"/>
  <c r="D17" i="14"/>
  <c r="E89" i="14"/>
  <c r="F17" i="14"/>
  <c r="G17" i="14"/>
  <c r="F46" i="14"/>
  <c r="C154" i="14"/>
  <c r="D154" i="14"/>
  <c r="E154" i="14"/>
  <c r="F154" i="14"/>
  <c r="G154" i="14"/>
  <c r="G156" i="14" s="1"/>
  <c r="C155" i="14"/>
  <c r="D155" i="14"/>
  <c r="E155" i="14"/>
  <c r="F155" i="14"/>
  <c r="G155" i="14"/>
  <c r="C143" i="14"/>
  <c r="D143" i="14"/>
  <c r="E143" i="14"/>
  <c r="F143" i="14"/>
  <c r="G143" i="14"/>
  <c r="C132" i="14"/>
  <c r="D132" i="14"/>
  <c r="D134" i="14" s="1"/>
  <c r="E132" i="14"/>
  <c r="F132" i="14"/>
  <c r="G132" i="14"/>
  <c r="C133" i="14"/>
  <c r="D133" i="14"/>
  <c r="E133" i="14"/>
  <c r="F133" i="14"/>
  <c r="G133" i="14"/>
  <c r="C121" i="14"/>
  <c r="D121" i="14"/>
  <c r="E121" i="14"/>
  <c r="F121" i="14"/>
  <c r="G121" i="14"/>
  <c r="C122" i="14"/>
  <c r="D122" i="14"/>
  <c r="E122" i="14"/>
  <c r="F122" i="14"/>
  <c r="G122" i="14"/>
  <c r="C110" i="14"/>
  <c r="D110" i="14"/>
  <c r="E110" i="14"/>
  <c r="F110" i="14"/>
  <c r="G110" i="14"/>
  <c r="G112" i="14" s="1"/>
  <c r="C111" i="14"/>
  <c r="D111" i="14"/>
  <c r="E111" i="14"/>
  <c r="F111" i="14"/>
  <c r="G111" i="14"/>
  <c r="C99" i="14"/>
  <c r="D99" i="14"/>
  <c r="E99" i="14"/>
  <c r="F99" i="14"/>
  <c r="F101" i="14" s="1"/>
  <c r="G99" i="14"/>
  <c r="C100" i="14"/>
  <c r="D100" i="14"/>
  <c r="E100" i="14"/>
  <c r="F100" i="14"/>
  <c r="G100" i="14"/>
  <c r="C88" i="14"/>
  <c r="D88" i="14"/>
  <c r="E88" i="14"/>
  <c r="F88" i="14"/>
  <c r="G88" i="14"/>
  <c r="C77" i="14"/>
  <c r="D77" i="14"/>
  <c r="E77" i="14"/>
  <c r="F77" i="14"/>
  <c r="G77" i="14"/>
  <c r="C78" i="14"/>
  <c r="D78" i="14"/>
  <c r="E78" i="14"/>
  <c r="F78" i="14"/>
  <c r="G78" i="14"/>
  <c r="C66" i="14"/>
  <c r="D66" i="14"/>
  <c r="E66" i="14"/>
  <c r="F66" i="14"/>
  <c r="G66" i="14"/>
  <c r="C67" i="14"/>
  <c r="D67" i="14"/>
  <c r="E67" i="14"/>
  <c r="F67" i="14"/>
  <c r="G67" i="14"/>
  <c r="C55" i="14"/>
  <c r="D55" i="14"/>
  <c r="E55" i="14"/>
  <c r="F55" i="14"/>
  <c r="G55" i="14"/>
  <c r="C56" i="14"/>
  <c r="D56" i="14"/>
  <c r="E56" i="14"/>
  <c r="F56" i="14"/>
  <c r="F57" i="14" s="1"/>
  <c r="G56" i="14"/>
  <c r="C44" i="14"/>
  <c r="D44" i="14"/>
  <c r="E44" i="14"/>
  <c r="F44" i="14"/>
  <c r="G44" i="14"/>
  <c r="G46" i="14" s="1"/>
  <c r="C45" i="14"/>
  <c r="D45" i="14"/>
  <c r="E45" i="14"/>
  <c r="F45" i="14"/>
  <c r="G45" i="14"/>
  <c r="C33" i="14"/>
  <c r="D33" i="14"/>
  <c r="E33" i="14"/>
  <c r="E35" i="14" s="1"/>
  <c r="F33" i="14"/>
  <c r="F35" i="14" s="1"/>
  <c r="G33" i="14"/>
  <c r="C34" i="14"/>
  <c r="D34" i="14"/>
  <c r="E34" i="14"/>
  <c r="F34" i="14"/>
  <c r="G34" i="14"/>
  <c r="G7" i="14"/>
  <c r="C6" i="14"/>
  <c r="D6" i="14"/>
  <c r="E6" i="14"/>
  <c r="F6" i="14"/>
  <c r="G6" i="14"/>
  <c r="C156" i="14" l="1"/>
  <c r="F156" i="14"/>
  <c r="D123" i="14"/>
  <c r="F134" i="14"/>
  <c r="G101" i="14"/>
  <c r="C123" i="14"/>
  <c r="E134" i="14"/>
  <c r="AC32" i="23"/>
  <c r="BZT29" i="23" s="1"/>
  <c r="Z40" i="23"/>
  <c r="BZH34" i="23" s="1"/>
  <c r="F145" i="14"/>
  <c r="AB32" i="23"/>
  <c r="D35" i="14"/>
  <c r="F112" i="14"/>
  <c r="AK29" i="23"/>
  <c r="BZW27" i="23" s="1"/>
  <c r="AF33" i="23"/>
  <c r="BZC30" i="23" s="1"/>
  <c r="AJ30" i="23"/>
  <c r="BZS28" i="23" s="1"/>
  <c r="AH29" i="23"/>
  <c r="BZK27" i="23" s="1"/>
  <c r="AF28" i="23"/>
  <c r="BZC26" i="23" s="1"/>
  <c r="AJ24" i="23"/>
  <c r="BZS24" i="23" s="1"/>
  <c r="AG28" i="23"/>
  <c r="BZG26" i="23" s="1"/>
  <c r="AK28" i="23"/>
  <c r="BZW26" i="23" s="1"/>
  <c r="AE33" i="23"/>
  <c r="AI30" i="23"/>
  <c r="BZO28" i="23" s="1"/>
  <c r="AG29" i="23"/>
  <c r="BZG27" i="23" s="1"/>
  <c r="AE28" i="23"/>
  <c r="AI24" i="23"/>
  <c r="BZO24" i="23" s="1"/>
  <c r="AE30" i="23"/>
  <c r="AE32" i="23"/>
  <c r="AK26" i="23"/>
  <c r="BZW25" i="23" s="1"/>
  <c r="BZQ55" i="23" s="1"/>
  <c r="AJ32" i="23"/>
  <c r="BZS29" i="23" s="1"/>
  <c r="AH30" i="23"/>
  <c r="BZK28" i="23" s="1"/>
  <c r="AF29" i="23"/>
  <c r="BZC27" i="23" s="1"/>
  <c r="AJ26" i="23"/>
  <c r="BZS25" i="23" s="1"/>
  <c r="BZP55" i="23" s="1"/>
  <c r="AH24" i="23"/>
  <c r="BZK24" i="23" s="1"/>
  <c r="AG32" i="23"/>
  <c r="AG26" i="23"/>
  <c r="BZG25" i="23" s="1"/>
  <c r="BZM55" i="23" s="1"/>
  <c r="AE26" i="23"/>
  <c r="AK24" i="23"/>
  <c r="BZW24" i="23" s="1"/>
  <c r="AI32" i="23"/>
  <c r="BZO29" i="23" s="1"/>
  <c r="AG30" i="23"/>
  <c r="BZG28" i="23" s="1"/>
  <c r="AE29" i="23"/>
  <c r="AI26" i="23"/>
  <c r="BZO25" i="23" s="1"/>
  <c r="BZO55" i="23" s="1"/>
  <c r="AG24" i="23"/>
  <c r="BZG24" i="23" s="1"/>
  <c r="AK33" i="23"/>
  <c r="BZW30" i="23" s="1"/>
  <c r="AI28" i="23"/>
  <c r="BZO26" i="23" s="1"/>
  <c r="AJ33" i="23"/>
  <c r="BZS30" i="23" s="1"/>
  <c r="AH32" i="23"/>
  <c r="BZK29" i="23" s="1"/>
  <c r="AF30" i="23"/>
  <c r="BZC28" i="23" s="1"/>
  <c r="AJ28" i="23"/>
  <c r="BZS26" i="23" s="1"/>
  <c r="AH26" i="23"/>
  <c r="BZK25" i="23" s="1"/>
  <c r="BZN55" i="23" s="1"/>
  <c r="AF24" i="23"/>
  <c r="BZC24" i="23" s="1"/>
  <c r="AI33" i="23"/>
  <c r="BZO30" i="23" s="1"/>
  <c r="AE24" i="23"/>
  <c r="AK32" i="23"/>
  <c r="BZW29" i="23" s="1"/>
  <c r="AH33" i="23"/>
  <c r="BZK30" i="23" s="1"/>
  <c r="AF32" i="23"/>
  <c r="AJ29" i="23"/>
  <c r="BZS27" i="23" s="1"/>
  <c r="AH28" i="23"/>
  <c r="BZK26" i="23" s="1"/>
  <c r="AF26" i="23"/>
  <c r="BZC25" i="23" s="1"/>
  <c r="BZL55" i="23" s="1"/>
  <c r="AK30" i="23"/>
  <c r="BZW28" i="23" s="1"/>
  <c r="AG33" i="23"/>
  <c r="BZG30" i="23" s="1"/>
  <c r="AI29" i="23"/>
  <c r="BZO27" i="23" s="1"/>
  <c r="C35" i="14"/>
  <c r="E46" i="14"/>
  <c r="E112" i="14"/>
  <c r="D156" i="14"/>
  <c r="Z32" i="23"/>
  <c r="BZH29" i="23" s="1"/>
  <c r="BZH37" i="23" s="1"/>
  <c r="G89" i="14"/>
  <c r="G90" i="14" s="1"/>
  <c r="F123" i="14"/>
  <c r="Y32" i="23"/>
  <c r="BZD29" i="23" s="1"/>
  <c r="AB40" i="23"/>
  <c r="AA40" i="23"/>
  <c r="BZL34" i="23" s="1"/>
  <c r="BZL37" i="23" s="1"/>
  <c r="AC40" i="23"/>
  <c r="BZT34" i="23" s="1"/>
  <c r="BZT37" i="23" s="1"/>
  <c r="C134" i="14"/>
  <c r="Y40" i="23"/>
  <c r="BZD34" i="23" s="1"/>
  <c r="C101" i="14"/>
  <c r="AH37" i="23"/>
  <c r="BZK32" i="23" s="1"/>
  <c r="BZN59" i="23" s="1"/>
  <c r="AF35" i="23"/>
  <c r="BZC31" i="23" s="1"/>
  <c r="BZL58" i="23" s="1"/>
  <c r="AG37" i="23"/>
  <c r="BZG32" i="23" s="1"/>
  <c r="BZM59" i="23" s="1"/>
  <c r="AE35" i="23"/>
  <c r="AF37" i="23"/>
  <c r="BZC32" i="23" s="1"/>
  <c r="BZL59" i="23" s="1"/>
  <c r="AE37" i="23"/>
  <c r="AJ35" i="23"/>
  <c r="BZS31" i="23" s="1"/>
  <c r="BZP58" i="23" s="1"/>
  <c r="AK37" i="23"/>
  <c r="BZW32" i="23" s="1"/>
  <c r="BZQ59" i="23" s="1"/>
  <c r="AI35" i="23"/>
  <c r="BZO31" i="23" s="1"/>
  <c r="BZO58" i="23" s="1"/>
  <c r="AK35" i="23"/>
  <c r="BZW31" i="23" s="1"/>
  <c r="BZQ58" i="23" s="1"/>
  <c r="AJ37" i="23"/>
  <c r="BZS32" i="23" s="1"/>
  <c r="BZP59" i="23" s="1"/>
  <c r="AH35" i="23"/>
  <c r="BZK31" i="23" s="1"/>
  <c r="BZN58" i="23" s="1"/>
  <c r="AI37" i="23"/>
  <c r="BZO32" i="23" s="1"/>
  <c r="BZO59" i="23" s="1"/>
  <c r="AG35" i="23"/>
  <c r="BZG31" i="23" s="1"/>
  <c r="BZM58" i="23" s="1"/>
  <c r="AI39" i="23"/>
  <c r="BZO33" i="23" s="1"/>
  <c r="AH39" i="23"/>
  <c r="BZK33" i="23" s="1"/>
  <c r="AG39" i="23"/>
  <c r="BZG33" i="23" s="1"/>
  <c r="AF39" i="23"/>
  <c r="BZC33" i="23" s="1"/>
  <c r="AE39" i="23"/>
  <c r="AK39" i="23"/>
  <c r="BZW33" i="23" s="1"/>
  <c r="AJ39" i="23"/>
  <c r="BZS33" i="23" s="1"/>
  <c r="AJ40" i="23"/>
  <c r="BZS34" i="23" s="1"/>
  <c r="AI40" i="23"/>
  <c r="BZO34" i="23" s="1"/>
  <c r="AJ42" i="23"/>
  <c r="BZS35" i="23" s="1"/>
  <c r="BZP61" i="23" s="1"/>
  <c r="AH40" i="23"/>
  <c r="BZK34" i="23" s="1"/>
  <c r="AI42" i="23"/>
  <c r="BZO35" i="23" s="1"/>
  <c r="BZO61" i="23" s="1"/>
  <c r="AG40" i="23"/>
  <c r="BZG34" i="23" s="1"/>
  <c r="AH42" i="23"/>
  <c r="BZK35" i="23" s="1"/>
  <c r="BZN61" i="23" s="1"/>
  <c r="AF40" i="23"/>
  <c r="BZC34" i="23" s="1"/>
  <c r="AG42" i="23"/>
  <c r="BZG35" i="23" s="1"/>
  <c r="BZM61" i="23" s="1"/>
  <c r="AE40" i="23"/>
  <c r="AK42" i="23"/>
  <c r="BZW35" i="23" s="1"/>
  <c r="BZQ61" i="23" s="1"/>
  <c r="AF42" i="23"/>
  <c r="BZC35" i="23" s="1"/>
  <c r="BZL61" i="23" s="1"/>
  <c r="AK40" i="23"/>
  <c r="BZW34" i="23" s="1"/>
  <c r="AE42" i="23"/>
  <c r="C57" i="14"/>
  <c r="C7" i="14"/>
  <c r="D46" i="14"/>
  <c r="D7" i="14"/>
  <c r="C46" i="14"/>
  <c r="F89" i="14"/>
  <c r="F90" i="14" s="1"/>
  <c r="G123" i="14"/>
  <c r="E156" i="14"/>
  <c r="F7" i="14"/>
  <c r="D68" i="14"/>
  <c r="D57" i="14"/>
  <c r="C79" i="14"/>
  <c r="D89" i="14"/>
  <c r="D112" i="14"/>
  <c r="E90" i="14"/>
  <c r="F79" i="14"/>
  <c r="G35" i="14"/>
  <c r="C112" i="14"/>
  <c r="E123" i="14"/>
  <c r="G134" i="14"/>
  <c r="D144" i="14"/>
  <c r="D145" i="14" s="1"/>
  <c r="G79" i="14"/>
  <c r="E57" i="14"/>
  <c r="F68" i="14"/>
  <c r="E68" i="14"/>
  <c r="E101" i="14"/>
  <c r="E79" i="14"/>
  <c r="D79" i="14"/>
  <c r="D90" i="14"/>
  <c r="D101" i="14"/>
  <c r="G68" i="14"/>
  <c r="C68" i="14"/>
  <c r="G57" i="14"/>
  <c r="G145" i="14"/>
  <c r="C145" i="14"/>
  <c r="E7" i="14"/>
  <c r="C89" i="14"/>
  <c r="C90" i="14" s="1"/>
  <c r="BZD37" i="23" l="1"/>
  <c r="BYY35" i="23"/>
  <c r="BZK61" i="23" s="1"/>
  <c r="BZJ61" i="23" s="1"/>
  <c r="AL42" i="23"/>
  <c r="D34" i="33" s="1"/>
  <c r="BYY34" i="23"/>
  <c r="AL40" i="23"/>
  <c r="D32" i="33" s="1"/>
  <c r="BYY33" i="23"/>
  <c r="BZK60" i="23" s="1"/>
  <c r="AL39" i="23"/>
  <c r="D31" i="33" s="1"/>
  <c r="BYY32" i="23"/>
  <c r="BZK59" i="23" s="1"/>
  <c r="BZJ59" i="23" s="1"/>
  <c r="AL37" i="23"/>
  <c r="D29" i="33" s="1"/>
  <c r="BYY31" i="23"/>
  <c r="BZK58" i="23" s="1"/>
  <c r="BZJ58" i="23" s="1"/>
  <c r="AL35" i="23"/>
  <c r="D27" i="33" s="1"/>
  <c r="BYY30" i="23"/>
  <c r="AL33" i="23"/>
  <c r="D25" i="33" s="1"/>
  <c r="BYY29" i="23"/>
  <c r="AL32" i="23"/>
  <c r="D24" i="33" s="1"/>
  <c r="BYY28" i="23"/>
  <c r="CAB28" i="23" s="1"/>
  <c r="AL30" i="23"/>
  <c r="D22" i="33" s="1"/>
  <c r="BYY27" i="23"/>
  <c r="CAB27" i="23" s="1"/>
  <c r="AL29" i="23"/>
  <c r="D21" i="33" s="1"/>
  <c r="BYY26" i="23"/>
  <c r="AL28" i="23"/>
  <c r="D20" i="33" s="1"/>
  <c r="BYY25" i="23"/>
  <c r="BZK55" i="23" s="1"/>
  <c r="BZJ55" i="23" s="1"/>
  <c r="AL26" i="23"/>
  <c r="D18" i="33" s="1"/>
  <c r="BYY24" i="23"/>
  <c r="BZK54" i="23" s="1"/>
  <c r="AL24" i="23"/>
  <c r="D16" i="33" s="1"/>
  <c r="BZG29" i="23"/>
  <c r="BZM57" i="23" s="1"/>
  <c r="BZC29" i="23"/>
  <c r="BZC37" i="23" s="1"/>
  <c r="BZC36" i="23" s="1"/>
  <c r="BZQ60" i="23"/>
  <c r="BZL60" i="23"/>
  <c r="BZM60" i="23"/>
  <c r="BZN60" i="23"/>
  <c r="BZO60" i="23"/>
  <c r="BZP60" i="23"/>
  <c r="BZN56" i="23"/>
  <c r="BZQ56" i="23"/>
  <c r="BZM56" i="23"/>
  <c r="BZO56" i="23"/>
  <c r="BZL56" i="23"/>
  <c r="BZP56" i="23"/>
  <c r="BZN57" i="23"/>
  <c r="BZP57" i="23"/>
  <c r="BZQ57" i="23"/>
  <c r="BZO57" i="23"/>
  <c r="BZP54" i="23"/>
  <c r="BZS37" i="23"/>
  <c r="BZS36" i="23" s="1"/>
  <c r="BZN54" i="23"/>
  <c r="BZK37" i="23"/>
  <c r="BZK36" i="23" s="1"/>
  <c r="BZM54" i="23"/>
  <c r="BZL54" i="23"/>
  <c r="BZO54" i="23"/>
  <c r="BZO37" i="23"/>
  <c r="BZO36" i="23" s="1"/>
  <c r="BZQ54" i="23"/>
  <c r="BZW37" i="23"/>
  <c r="BZW36" i="23" s="1"/>
  <c r="CAC29" i="23"/>
  <c r="CAC34" i="23"/>
  <c r="CAD38" i="23" s="1"/>
  <c r="AB22" i="23"/>
  <c r="AA22" i="23"/>
  <c r="Z22" i="23"/>
  <c r="W32" i="23"/>
  <c r="P27" i="30" s="1"/>
  <c r="AC22" i="23"/>
  <c r="Y22" i="23"/>
  <c r="W40" i="23"/>
  <c r="P35" i="30" s="1"/>
  <c r="CAB33" i="23" l="1"/>
  <c r="BZK56" i="23"/>
  <c r="BZJ56" i="23" s="1"/>
  <c r="L55" i="23" s="1"/>
  <c r="D50" i="33" s="1"/>
  <c r="BZG37" i="23"/>
  <c r="BZG36" i="23" s="1"/>
  <c r="BZK57" i="23"/>
  <c r="BZK63" i="23" s="1"/>
  <c r="CAB26" i="23"/>
  <c r="BYY37" i="23"/>
  <c r="BYY36" i="23" s="1"/>
  <c r="CAB25" i="23"/>
  <c r="CAB30" i="23"/>
  <c r="BZL57" i="23"/>
  <c r="BZL63" i="23" s="1"/>
  <c r="BZO63" i="23"/>
  <c r="BZO53" i="23" s="1"/>
  <c r="BZQ63" i="23"/>
  <c r="BZJ60" i="23"/>
  <c r="BZM63" i="23"/>
  <c r="BZN63" i="23"/>
  <c r="BZP63" i="23"/>
  <c r="AN40" i="39"/>
  <c r="AP38" i="39" s="1"/>
  <c r="AN40" i="43"/>
  <c r="AP38" i="43" s="1"/>
  <c r="AN40" i="37"/>
  <c r="AP38" i="37" s="1"/>
  <c r="AN40" i="41"/>
  <c r="AP38" i="41" s="1"/>
  <c r="AN32" i="43"/>
  <c r="AP31" i="43" s="1"/>
  <c r="AP21" i="43" s="1"/>
  <c r="AN32" i="41"/>
  <c r="AP31" i="41" s="1"/>
  <c r="AN32" i="39"/>
  <c r="AP31" i="39" s="1"/>
  <c r="AP21" i="39" s="1"/>
  <c r="AN32" i="37"/>
  <c r="AP31" i="37" s="1"/>
  <c r="AP21" i="37" s="1"/>
  <c r="BZJ54" i="23"/>
  <c r="AN32" i="23"/>
  <c r="AN40" i="23"/>
  <c r="CAB29" i="23"/>
  <c r="CAB34" i="23"/>
  <c r="S35" i="30"/>
  <c r="AI35" i="30" s="1"/>
  <c r="S34" i="30"/>
  <c r="AI34" i="30" s="1"/>
  <c r="S37" i="30"/>
  <c r="CAB35" i="23"/>
  <c r="CAB32" i="23"/>
  <c r="CAB31" i="23"/>
  <c r="CAB24" i="23"/>
  <c r="S23" i="30"/>
  <c r="AI23" i="30" s="1"/>
  <c r="S27" i="30"/>
  <c r="AI27" i="30" s="1"/>
  <c r="S24" i="30"/>
  <c r="AI24" i="30" s="1"/>
  <c r="S30" i="30"/>
  <c r="S25" i="30"/>
  <c r="AI25" i="30" s="1"/>
  <c r="S32" i="30"/>
  <c r="AI32" i="30" s="1"/>
  <c r="S21" i="30"/>
  <c r="AI21" i="30" s="1"/>
  <c r="S19" i="30"/>
  <c r="AI19" i="30" s="1"/>
  <c r="S28" i="30"/>
  <c r="AI28" i="30" s="1"/>
  <c r="CAB37" i="23" l="1"/>
  <c r="BZJ57" i="23"/>
  <c r="L56" i="23" s="1"/>
  <c r="D51" i="33" s="1"/>
  <c r="AP21" i="41"/>
  <c r="G92" i="33" s="1"/>
  <c r="E92" i="33"/>
  <c r="F92" i="33"/>
  <c r="H92" i="33"/>
  <c r="BZL53" i="23"/>
  <c r="P43" i="23"/>
  <c r="BZK62" i="23"/>
  <c r="BZP62" i="23"/>
  <c r="T43" i="23"/>
  <c r="BZN62" i="23"/>
  <c r="R43" i="23"/>
  <c r="BZM53" i="23"/>
  <c r="Q43" i="23"/>
  <c r="BZQ62" i="23"/>
  <c r="U43" i="23"/>
  <c r="BZO62" i="23"/>
  <c r="S43" i="23"/>
  <c r="X43" i="23"/>
  <c r="BZN53" i="23"/>
  <c r="BZL62" i="23"/>
  <c r="BZM62" i="23"/>
  <c r="BZP53" i="23"/>
  <c r="Q36" i="30"/>
  <c r="AI37" i="30"/>
  <c r="Q29" i="30"/>
  <c r="AI30" i="30"/>
  <c r="Q33" i="30"/>
  <c r="L60" i="23"/>
  <c r="D55" i="33" s="1"/>
  <c r="T37" i="30"/>
  <c r="L58" i="23"/>
  <c r="D53" i="33" s="1"/>
  <c r="L53" i="23"/>
  <c r="D48" i="33" s="1"/>
  <c r="L54" i="23"/>
  <c r="D49" i="33" s="1"/>
  <c r="L57" i="23"/>
  <c r="D52" i="33" s="1"/>
  <c r="CAB38" i="23"/>
  <c r="CAB39" i="23" s="1"/>
  <c r="Q31" i="30"/>
  <c r="Q20" i="30"/>
  <c r="Q18" i="30"/>
  <c r="Q26" i="30"/>
  <c r="Q22" i="30"/>
  <c r="L59" i="23"/>
  <c r="D54" i="33" s="1"/>
  <c r="BZJ63" i="23" l="1"/>
  <c r="BZK53" i="23" s="1"/>
  <c r="BZJ62" i="23"/>
  <c r="AP34" i="23"/>
  <c r="AP41" i="23"/>
  <c r="AP38" i="23"/>
  <c r="AP31" i="23"/>
  <c r="AP36" i="23"/>
  <c r="AP27" i="23"/>
  <c r="AP25" i="23"/>
  <c r="AP23" i="23"/>
  <c r="Q38" i="30"/>
  <c r="Q40" i="30" s="1"/>
  <c r="BZJ53" i="23" l="1"/>
  <c r="CAB22" i="23" s="1"/>
  <c r="AP21" i="23"/>
  <c r="D92" i="33" s="1"/>
  <c r="AO21" i="43"/>
  <c r="AO21" i="37"/>
  <c r="AO21" i="41"/>
  <c r="AO21" i="39"/>
  <c r="Q41" i="30"/>
  <c r="M62" i="23"/>
  <c r="N5" i="30"/>
  <c r="M61" i="23"/>
  <c r="L61" i="23"/>
  <c r="AO21" i="23" l="1"/>
  <c r="L62" i="23"/>
  <c r="N49" i="23"/>
  <c r="D57" i="33" s="1"/>
  <c r="J39" i="23"/>
  <c r="J19" i="23"/>
  <c r="D13" i="33" l="1"/>
  <c r="D47" i="33" s="1"/>
  <c r="D58" i="33"/>
  <c r="BYY23" i="23"/>
  <c r="AQ44" i="43"/>
  <c r="C17" i="30" l="1"/>
</calcChain>
</file>

<file path=xl/sharedStrings.xml><?xml version="1.0" encoding="utf-8"?>
<sst xmlns="http://schemas.openxmlformats.org/spreadsheetml/2006/main" count="2131" uniqueCount="662">
  <si>
    <t>Afwegingskader voor Circulariteit in Projecten</t>
  </si>
  <si>
    <t>Circulaire Peiler</t>
  </si>
  <si>
    <t>De peilstok die de circulariteit van projecten meetbaar maakt</t>
  </si>
  <si>
    <t xml:space="preserve">De circulaire peiler blijft in ontwikkeling. Wij staan open voor uw suggesties voor verbeteringen. </t>
  </si>
  <si>
    <t>via procesmatige sturing zijn gerealiseerd.</t>
  </si>
  <si>
    <t>milieubelasting, circulariteit en CO2 uitstoot meer of minder groot is. De circulaire peiler beoordeelt het kwantitatieve effect</t>
  </si>
  <si>
    <t>door een vergelijking te maken ten opzichte van een (traditionele) referentie. Voor die referentiesituatie wordt de MKI, CI en CO2 uitstoot berekend.</t>
  </si>
  <si>
    <t>De circulaire peiler beoordeelt de besparing ten opzichte van de referentie. De afname wordt weergegeven als percentage ten opzichte van de referentie.</t>
  </si>
  <si>
    <t>Soms moet het eerder vastgestelde wegingspercentage per circulariteitsprincipe over meerdere subdoelstellingen worden verdeeld.</t>
  </si>
  <si>
    <t>Per circulariteitsprincipe zijn (gerealiseerde) doelstellingen geformuleerd op vijf verschillende circulariteitsniveaus.</t>
  </si>
  <si>
    <t>Lagere niveaus krijgen minder punten afnemend in stappen van 25 punten. Via een indicator wordt de waardering voor de inspanning weergegeven.</t>
  </si>
  <si>
    <t>Er verschijnt een indicator voor de geleverde inspanning. Bij 75 of meer punten: groen, 50 punten: geel, minder dan 50 punten: rood.</t>
  </si>
  <si>
    <t>Klik het pull-down teken aan. Een keuzemenu verschijnt. Selecteer de best passende circulariteitsdoelstelling uit de vijf keuzeopties.</t>
  </si>
  <si>
    <t>De waarde van het circulaire peil staat boven het diagram en rechtsbovenaan in de ProjectFactsheet.</t>
  </si>
  <si>
    <t>De twee staafdiagrammen tonen de verdeling van de subscores. Het rechter staafdiagram laat de verdeling van de maximum score zien (score 100).</t>
  </si>
  <si>
    <t>Deze informatie kan worden gebruikt om verbeteringsmaatregelen voor te stellen.</t>
  </si>
  <si>
    <t xml:space="preserve">Als alle doelstellingen zijn ingevuld, dan verschijnt de waarde van de CPI, het indexgetal voor het procesmatige deel van de Circulaire Peiler. </t>
  </si>
  <si>
    <t>Het 10-R model. Prioriteitsvolgorde voor circulaire maatregelen.</t>
  </si>
  <si>
    <t>De Circulaire Peiler</t>
  </si>
  <si>
    <t>Peilstok die circulariteit in projecten meetbaar maakt</t>
  </si>
  <si>
    <t>datum:</t>
  </si>
  <si>
    <t>Projectnaam:</t>
  </si>
  <si>
    <t>verkenningsfase</t>
  </si>
  <si>
    <t>Berekening uitgevoerd door:</t>
  </si>
  <si>
    <t>Datum berekening:</t>
  </si>
  <si>
    <t>Opmerking:</t>
  </si>
  <si>
    <t>BEREKENING PROCES CPI: START IN DE KOLOM HIERONDER MET DE INVOER VAN DE INPUT VAN DOELEN/PRESTATIES VOOR DE CIRCULAIRE PEILER (CPI)</t>
  </si>
  <si>
    <t>- Selecteer een optie via het PULLDOWN MENU (verschijnt na klik op lichtgekleurde vlak)</t>
  </si>
  <si>
    <t>WEEGFACTOREN PER ONTWERPPRINCIPE</t>
  </si>
  <si>
    <t>FASE</t>
  </si>
  <si>
    <t>initiatief</t>
  </si>
  <si>
    <t>verkenning</t>
  </si>
  <si>
    <t>planuitwerking</t>
  </si>
  <si>
    <t>contractvorming</t>
  </si>
  <si>
    <t>realisatie</t>
  </si>
  <si>
    <t>beheer/onderhoud</t>
  </si>
  <si>
    <t>- Na selectie van een optie verschijnt de score van het item en de bijdrage aan de CPI (Index Circulaire Peiler).</t>
  </si>
  <si>
    <t>eigen input</t>
  </si>
  <si>
    <t>punten</t>
  </si>
  <si>
    <t>eigen waarde</t>
  </si>
  <si>
    <t>BEREKENING REFERENTIEMONITOR Reductie % CPI: VUL DE WAARDEN VAN DE MKI, CI en CO2 VAN HET PROJECT EN DE REFERENTIE IN (lichtblauwe, groene en rode vlakken)</t>
  </si>
  <si>
    <t>- Vul de waarden van de MKI, CI en CO2  van het project en de referentie in (lichtblauwe, groene en rode vlakken)</t>
  </si>
  <si>
    <t>START HIERONDER MET DE INVOER</t>
  </si>
  <si>
    <t>deelscore</t>
  </si>
  <si>
    <t xml:space="preserve">CPI = </t>
  </si>
  <si>
    <t>CIRCULAIRE ONTWERPPRINCIPES 1 t/m 8 + subvragen a t/m c</t>
  </si>
  <si>
    <t>score doel/prestatie</t>
  </si>
  <si>
    <t>weging</t>
  </si>
  <si>
    <t>CPI</t>
  </si>
  <si>
    <t>Voorkómen: niet doen wat echt niet hoeft</t>
  </si>
  <si>
    <t>initiatieffase</t>
  </si>
  <si>
    <t>referentie initiatieffase (max)</t>
  </si>
  <si>
    <t>alternatief</t>
  </si>
  <si>
    <t>referentie verkenningsfase</t>
  </si>
  <si>
    <t>referentie planuitwerkingsfase</t>
  </si>
  <si>
    <t>referentie contractvorming</t>
  </si>
  <si>
    <t>referentie realisatie</t>
  </si>
  <si>
    <t>referentie beheer/onderhoud</t>
  </si>
  <si>
    <t>referentie "eigen waarde"</t>
  </si>
  <si>
    <t>max score</t>
  </si>
  <si>
    <t>a</t>
  </si>
  <si>
    <t>verklein de omvang van de opgave. Wees kritisch t.a.v. eisen/uitgangspunten. Hergebruik materialen/elementen of een nieuwe/dubbelfunctie</t>
  </si>
  <si>
    <t>Opgaveverkleining via efficiëntere oplossingen + meekoppelkansen onderzocht (verkennend onderzoek; MKI o.b.v. kentallen)</t>
  </si>
  <si>
    <t>A</t>
  </si>
  <si>
    <t>verklein opgave</t>
  </si>
  <si>
    <t>Verleng de levensduur van bestaande objecten of componenten</t>
  </si>
  <si>
    <t>B</t>
  </si>
  <si>
    <t>levensduurverlenging</t>
  </si>
  <si>
    <t>mogelijkheden voor verlenging van de levensduur van bestaande objecten</t>
  </si>
  <si>
    <t>Levensduurverlenging is systematisch onderzocht (10R); &gt;50% van de haalbare maatregelen geïmplementeerd</t>
  </si>
  <si>
    <t>C</t>
  </si>
  <si>
    <t>hergebruik</t>
  </si>
  <si>
    <t>Duurzaam gebruik van bestaande objecten, materialen, grondstoffen en natuurlijke processen</t>
  </si>
  <si>
    <t>b</t>
  </si>
  <si>
    <t>materialendatabank</t>
  </si>
  <si>
    <t>restwaarde voor hergebruik bepalen van bestaande objecten, componenten en materialen</t>
  </si>
  <si>
    <t>Restwaarden in kaart gebracht (10-R); toepassingen in het project/gebied zijn onderzocht</t>
  </si>
  <si>
    <t>c</t>
  </si>
  <si>
    <t>natuurlijk proces</t>
  </si>
  <si>
    <t>gebruik van materialen(data)banken</t>
  </si>
  <si>
    <t>Raadpleging van één of meer materialen(data)banken is niet overwogen voor het project</t>
  </si>
  <si>
    <t>D</t>
  </si>
  <si>
    <t>herbruikb.na afdank</t>
  </si>
  <si>
    <t>(potentiële kansen voor) inzet van aanwezige natuurlijke processen</t>
  </si>
  <si>
    <t>Kansen voor inzet natuurlijke processen zijn onderzocht voor het project&amp;gebied (omgeving)</t>
  </si>
  <si>
    <t>materialenpaspoort</t>
  </si>
  <si>
    <t>Ontwerp voor meerdere levenscycli</t>
  </si>
  <si>
    <t>E</t>
  </si>
  <si>
    <t>toekomstgericht</t>
  </si>
  <si>
    <t>herbruikbaarheid van materialen/elementen (na einde levensduur)  in ontwerp</t>
  </si>
  <si>
    <t>Herbruikbaarheid van materialen, etc. is aangetoond op basis van duurzame materiaalkeuze, detaillering van verbindingen (losmaakbaarheid) en kwantiteit</t>
  </si>
  <si>
    <t>F</t>
  </si>
  <si>
    <t>Tenminste 80% van de materialen zijn opgenomen in een  materialenpaspoort. &gt;80% daarvan heeft een bestemming voor hergebruik na einde levensduur</t>
  </si>
  <si>
    <t xml:space="preserve"> </t>
  </si>
  <si>
    <t>G</t>
  </si>
  <si>
    <t>MKIberekening</t>
  </si>
  <si>
    <t>Ontwerp toekomstbestendig</t>
  </si>
  <si>
    <t>CIberekening</t>
  </si>
  <si>
    <t>adaptief en toekomstgericht. Betrek omgeving bij planvorming</t>
  </si>
  <si>
    <t>Gebiedsambities worden geïntegreerd; er is ruimte voor toekomstige ontwikkelingen/klimaatverandering/natuurontwikkeling</t>
  </si>
  <si>
    <t>H</t>
  </si>
  <si>
    <t>CO2berekening</t>
  </si>
  <si>
    <t xml:space="preserve">Ontwerp voor optimaal beheer en onderhoud </t>
  </si>
  <si>
    <t>rest</t>
  </si>
  <si>
    <t>beheer- en onderhoudsaspecten</t>
  </si>
  <si>
    <t>Materiaalkeuze is afgestemd op lage beheer/onderhoudskosten; LCC is afgezet tegen investeringskosten; LCC &lt; 90% x LCCconventioneel</t>
  </si>
  <si>
    <t>totaal</t>
  </si>
  <si>
    <t>Duurzaam materiaalgebruik (hoeveelxmilieubelasting)</t>
  </si>
  <si>
    <t>Milieuimpact</t>
  </si>
  <si>
    <t>Beperkt onderzoek maar wel onderdeel van de afweging materiaalarm construeren, schaarse grondstoffen, hergebruik materiaal, (her)gebruik hernieuwbare en secundaire (grond)stoffen</t>
  </si>
  <si>
    <t>Circulariteit</t>
  </si>
  <si>
    <t>Ontwerp voor minimaal grondstof- en energiegebruik in de aanleg/gebruiksfase</t>
  </si>
  <si>
    <t>CO2 impact materialen en energiegebruik</t>
  </si>
  <si>
    <t>Gedegen onderzoek mogelijkheden beperking grondstof- en energiegebruik tijdens aanlegfase/gebruiksfase + opwekking hernieuwbare energie + grove kwantificering</t>
  </si>
  <si>
    <t>Circulair Peil (index): CPI =</t>
  </si>
  <si>
    <t>CPI  (max 100)</t>
  </si>
  <si>
    <t>Circulair ontwerpprincipe</t>
  </si>
  <si>
    <t>koppeling fases CIRCULARITEITSSCORE PER ONDERDEEL EN PER FASE VAN HET ONTWIKKELPROCES</t>
  </si>
  <si>
    <t>"eigen waarde"</t>
  </si>
  <si>
    <t>Circulair Peil [Index]</t>
  </si>
  <si>
    <t>verschil ten opzichte van INDEX 100</t>
  </si>
  <si>
    <t>Rest</t>
  </si>
  <si>
    <t>CIRCULARITEITSSCORE</t>
  </si>
  <si>
    <t>Milieukosten MKI  (DuboCalc, of gelijkwaardig)</t>
  </si>
  <si>
    <t>MKI project [MKI]</t>
  </si>
  <si>
    <t>MKI referentie [MKI]</t>
  </si>
  <si>
    <t>MKIproject/MKI referentie</t>
  </si>
  <si>
    <t>CPI-monitor</t>
  </si>
  <si>
    <t>Referentiemonitor*  (reductie)</t>
  </si>
  <si>
    <t>Proces</t>
  </si>
  <si>
    <t>MKI*</t>
  </si>
  <si>
    <t>CO2*</t>
  </si>
  <si>
    <t xml:space="preserve">Versie: </t>
  </si>
  <si>
    <t>*Reductie t.o.v. referentie</t>
  </si>
  <si>
    <t>planuitwerkingsfase</t>
  </si>
  <si>
    <t>Fase (t.b.v. weegfactoren):</t>
  </si>
  <si>
    <t>contractvormingsfase</t>
  </si>
  <si>
    <t>realisatiefase</t>
  </si>
  <si>
    <t>beheer/onderhoudsfase</t>
  </si>
  <si>
    <t>&lt;eigen weegfactoren&gt;</t>
  </si>
  <si>
    <t>CPI [-]*</t>
  </si>
  <si>
    <r>
      <t>PNT</t>
    </r>
    <r>
      <rPr>
        <sz val="7"/>
        <color theme="1"/>
        <rFont val="Calibri"/>
        <family val="2"/>
        <scheme val="minor"/>
      </rPr>
      <t>(max100)</t>
    </r>
  </si>
  <si>
    <t>Suggesties voor verbetering (wordt nog nader ingevuld)</t>
  </si>
  <si>
    <t>subtotaal index circulariteitspeil (CPI) (max=100)</t>
  </si>
  <si>
    <t>totaal CPI</t>
  </si>
  <si>
    <t>* CPI = Circulair Peil Index</t>
  </si>
  <si>
    <t>Zó kunt u eenvoudig alternatieven vergelijken</t>
  </si>
  <si>
    <t>CONTROLE ZOEKEN KEUZES (0 - 25 - 50 - 75 -100 punten)</t>
  </si>
  <si>
    <t>Legenda kleurcodering</t>
  </si>
  <si>
    <t>klik op het pulldownmenu voor de keuzeopties</t>
  </si>
  <si>
    <t>&gt;10% opgaveverkleining door efficiëntere oplossingen/meekoppelkansen/functionaliteitsverbetering/innovaties (MKI o.b.v. kentallen)</t>
  </si>
  <si>
    <t>Levensduurverlenging is niet systematisch onderzocht in project/gebied</t>
  </si>
  <si>
    <t>Restwaarden in kaart gebracht (10-R); toepassingen zijn onderzocht; haalbare alternatieven zijn geïmplementeerd</t>
  </si>
  <si>
    <t>Kansen voor inzet natuurlijke processen zijn onderzocht voor het project&amp;gebied;haalbaarheidsstudie uitgevoerd; &gt;80% van de haalbare maatregelen geïmplementeerd</t>
  </si>
  <si>
    <t>Herbruikbaarheid van materialen, etc. na einde levensduur is systematisch onderzocht</t>
  </si>
  <si>
    <t>Uitwerking projectdoelstellingen (alleen) binnen de technische-, ruimtelijke- en beleidskaders</t>
  </si>
  <si>
    <t>In het ontwerp wordt niet expliciet rekening gehouden met beheer- en onderhoudsaspecten</t>
  </si>
  <si>
    <t>Geen speciale aandacht in proces voor materiaalarm construeren, schaarse grondstof, hergebruik materiaal, (her)gebruik hernieuwbare en sec.(grond)stoffen</t>
  </si>
  <si>
    <t>Geen speciale aandacht in proces voor circulariteit (10-R model)</t>
  </si>
  <si>
    <t>Geen speciale aandacht in proces voor beperking grondstof- en energiegebruik tijdens aanlegfase en van toekomstige gebruikers</t>
  </si>
  <si>
    <t>VERGELIJKING PROCESMONITOR CIRCULAIRE PEILER</t>
  </si>
  <si>
    <t>ALTERNATIEF</t>
  </si>
  <si>
    <t>100%-CPI [%]</t>
  </si>
  <si>
    <t>VERGELIJKING REFERENTIEMONITOR CIRCULAIRE PEILER</t>
  </si>
  <si>
    <t xml:space="preserve">SAMENVATTING KENGETALLEN </t>
  </si>
  <si>
    <t>PROCESMONITOR CIRCULAIRE PEILER</t>
  </si>
  <si>
    <t>REFERENTIEMONITOR REDUCTIE MILIEUASPECTEN</t>
  </si>
  <si>
    <t xml:space="preserve">totaal a. t/m c. </t>
  </si>
  <si>
    <t>a. herbruikbaarheid van materialen/elementen of een nieuwe functie</t>
  </si>
  <si>
    <t>a. mogelijkheden voor verlenging van de levensduur van bestaande objecten</t>
  </si>
  <si>
    <t>a. restwaarde voor hergebruik bepalen van bestaande objecten, componenten en materialen</t>
  </si>
  <si>
    <t>b. gebruik van materialen(data)banken</t>
  </si>
  <si>
    <t>c. (potentiele kansen voor) inzet van aanwezige natuurlijke processen</t>
  </si>
  <si>
    <t>a. herbruikbaarheid van materialen/elementen in ontwerp</t>
  </si>
  <si>
    <t>b. materialenpaspoort</t>
  </si>
  <si>
    <t>a. adaptief en toekomstgericht</t>
  </si>
  <si>
    <t>a. beheer- en onderhoudsaspecten</t>
  </si>
  <si>
    <t>** De som van de wegingspercentages van de subvragen (oranje percentages) per CirculariteitsPrincipe is 100%</t>
  </si>
  <si>
    <t>PUNTENTOEKENNING GEREALISEERD DOEL VOOR ELK VAN DE SUBVRAGEN PER CIRCULARITEITSPRINCIPE (maximaal 100 punten per doel) + toelichting op gerealiseerde doelen in keuzemenu</t>
  </si>
  <si>
    <t>Toelichting op het pulldown keuzemenu</t>
  </si>
  <si>
    <t>wegingspercentage subvraag a</t>
  </si>
  <si>
    <t>Aa</t>
  </si>
  <si>
    <t>Ab</t>
  </si>
  <si>
    <t xml:space="preserve">maximaal aantal punten (ongewogen) voor: opgaveverkleining </t>
  </si>
  <si>
    <t xml:space="preserve">nader onderzoek: opgaveverkleining </t>
  </si>
  <si>
    <t>Opgaveverkleining niet onderzocht</t>
  </si>
  <si>
    <t>Mogelijke verkleining van de opgave voor het project is niet nader onderzocht al dan niet na een kritische beschouwing van de opgave.</t>
  </si>
  <si>
    <t>Opgaveverkleining via efficiëntere oplossingen + meekoppelkansen onderzocht (verkennend onderzoek; géén MKI berekeningen)</t>
  </si>
  <si>
    <t>Mogelijke verkleining van het project in relatie tot gebiedsontwikkeling is niet nader onderzocht.</t>
  </si>
  <si>
    <t xml:space="preserve">Alternatieven voor verkleining van het project via efficientere oplossingen binnen het oorspronkelijke plangebied en meekoppelkansen zijn nader in beeld gebracht door onderzoek (standaard werk).    </t>
  </si>
  <si>
    <t>Alternatieven voor verkleining van het project via efficientere oplossingen en meekoppelkansen binnen de gebiedsontwikkelingsopgave zijn onderzocht (verkennend onderzoek).</t>
  </si>
  <si>
    <t>&gt;20% opgaveverkleining door efficiëntere oplossingen/meekoppelkansen/functionaliteitsverbetering/innovaties (MKI o.b.v. kentallen)</t>
  </si>
  <si>
    <t>Onderzoek naar functionaliteit en innovaties hebben geleid tot een aanzienlijke verkleining van de opgave voor het project door efficiëntere oplossingen en meekoppelkansen.</t>
  </si>
  <si>
    <t>Bonus: Duurzame innovaties voor project (&gt;2030) dragen in hoge mate bij aan opgaveverkleining</t>
  </si>
  <si>
    <t>Duurzame innovaties voor project (&gt;2030)</t>
  </si>
  <si>
    <t>Ba</t>
  </si>
  <si>
    <t>Bb</t>
  </si>
  <si>
    <t>maximaal aantal punten (ongewogen) voor: levensduurverlenging</t>
  </si>
  <si>
    <t>nader onderzoek: maatregelen voor levensduurverlenging bestaande objecten in het project/gebied</t>
  </si>
  <si>
    <t>De mogelijkheden voor verlenging van de levensduur van bestaande objecten in het plangebied zijn niet onderzocht.</t>
  </si>
  <si>
    <t>De mogelijkheden voor verlenging van de levensduur van bestaande objecten binnen het plangebied en mogelijkheden voor verlenging ervan zijn in kaart gebracht volgens het 10-R model voor circulariteit, maar er wordt binnen dit project niets mee gedaan.</t>
  </si>
  <si>
    <t>De mogelijkheden voor verlenging van de levensduur van bestaande objecten en mogelijkheden voor verlenging ervan zijn via de systematiek van de 10R-ladder voor circulariteit in kaart gebracht en de haalbaarheid is per maatregel onderzocht.</t>
  </si>
  <si>
    <t>De mogelijkheden voor verlenging van de levensduur van bestaande objecten en mogelijkheden voor verlenging ervan zijn via de systematiek van de 10R-ladder voor circulariteit in kaart gebracht en de haalbaarheid is per maatregel onderzocht. Minimaal 80% van de haalbare maatregelen wordt in het plan opgenomen.</t>
  </si>
  <si>
    <t>De mogelijkheden voor verlenging van de levensduur van bestaande objecten en mogelijkheden voor verlenging ervan zijn via de systematiek van de 10R-ladder voor circulariteit in kaart gebracht en de haalbaarheid is per maatregel onderzocht. In het plan wordt minimaal 80% van de haalbare maatregelen op het hoogst haalbaar geachte circulariteitsniveau opgenomen.</t>
  </si>
  <si>
    <t>Bonus: Duurzame innovaties voor project (&gt;2030)</t>
  </si>
  <si>
    <t>Ca</t>
  </si>
  <si>
    <t>maximaal aantal punten (ongewogen) voor: restwaardehergebruik</t>
  </si>
  <si>
    <t>nader onderzoek: restwaarden voor hergebruik bestaande objecten/etc binnen/buiten projectgebied</t>
  </si>
  <si>
    <t>Restwaarden binnen/buiten het projectgebied niet of beperkt in kaart gebracht</t>
  </si>
  <si>
    <t>Van bestaande objecten, componenten en materialen binnen het plangebied is de restwaarde voor hergebruik ervan binnen of buiten de uitwerking van het project niet in kaart gebracht.</t>
  </si>
  <si>
    <t>Restwaarden in kaart gebracht (10-R)</t>
  </si>
  <si>
    <t>Van bestaande objecten, componenten en materialen binnen het plangebied is de restwaarde voor hergebruik ervan binnen het project of gebiedsontwikkeling globaal in kaart gebracht, maar er wordt geen gebruik van gemaakt binnen de uitwerking van het project.</t>
  </si>
  <si>
    <t>Van bestaande objecten, componenten en materialen binnen het plangebied is de restwaarde voor hergebruik ervan binnen het project of gebiedsontwikkeling gedegen in kaart gebracht en per trede van de 10R-ladder zijn toepassingsmogelijkheden binnen en buiten het plangebied in beeld gebracht.</t>
  </si>
  <si>
    <t>Van bestaande objecten, componenten en materialen binnen het plangebied maar ook van (tijdig binnen de realisatieperiode) vrijkomende materialen in een straal van minimaal 50 km buiten het plangebied is de restwaarde voor hergebruik ervan binnen het project gedegen in kaart gebracht en per trede van de 10R-ladder zijn toepassingsmogelijkheden binnen en buiten het plangebied/gebiedsontwikkeling in beeld gebracht en is de haalbaarheid ervan onderzocht.</t>
  </si>
  <si>
    <t>Restwaarden in kaart gebracht (10-R); toepassingen zijn onderzocht; &gt;80% van de maatregelen zijn geïmplementeerd op het maximaal realistische 10-R niveau</t>
  </si>
  <si>
    <t>Van bestaande objecten, componenten en materialen binnen het plangebied maar ook van (tijdig binnen de realisatieperiode) vrijkomende materialen in een straal van minimaal 50 km buiten het plangebied is de restwaarde voor hergebruik ervan binnen het project/plangebied gedegen in kaart gebracht en per trede van de 10R-ladder zijn toepassingsmogelijkheden binnen en buiten het plangebied in beeld gebracht en is de haalbaarheid ervan onderzocht. Haalbare alternatieven worden geintegreerd in de plannen.</t>
  </si>
  <si>
    <t>wegingspercentage subvraag b</t>
  </si>
  <si>
    <t>Cb</t>
  </si>
  <si>
    <t>maximaal aantal punten (ongewogen) voor: materialendatabank</t>
  </si>
  <si>
    <t>nader onderzoek: raadpleging materialendatabank</t>
  </si>
  <si>
    <t>Benutting van materialen(data)banken voor het project is niet overwogen.</t>
  </si>
  <si>
    <r>
      <rPr>
        <u/>
        <sz val="11"/>
        <color theme="1"/>
        <rFont val="Calibri"/>
        <family val="2"/>
        <scheme val="minor"/>
      </rPr>
      <t xml:space="preserve">&gt; </t>
    </r>
    <r>
      <rPr>
        <sz val="11"/>
        <color theme="1"/>
        <rFont val="Calibri"/>
        <family val="2"/>
        <scheme val="minor"/>
      </rPr>
      <t>1 materialendatabank geraadpleegd voor het project</t>
    </r>
  </si>
  <si>
    <t>Minimaal één materialendatabank is geraadpleegd voor het project met een circulair doel voor het project.</t>
  </si>
  <si>
    <r>
      <rPr>
        <u/>
        <sz val="11"/>
        <color theme="1"/>
        <rFont val="Calibri"/>
        <family val="2"/>
        <scheme val="minor"/>
      </rPr>
      <t>&gt;</t>
    </r>
    <r>
      <rPr>
        <sz val="11"/>
        <color theme="1"/>
        <rFont val="Calibri"/>
        <family val="2"/>
        <scheme val="minor"/>
      </rPr>
      <t xml:space="preserve"> 1 materialendatabank geraadpleegd; verkennende studie aanbodgestuurd ontwerpen is uitgevoerd</t>
    </r>
  </si>
  <si>
    <t>Minimaal één materialendatabank is geraadpleegd voor het project met een circulair doel voor het project en kansen voor aanbodgestuurd ontwerpen zijn verkend.</t>
  </si>
  <si>
    <r>
      <rPr>
        <u/>
        <sz val="11"/>
        <color theme="1"/>
        <rFont val="Calibri"/>
        <family val="2"/>
        <scheme val="minor"/>
      </rPr>
      <t>&gt;</t>
    </r>
    <r>
      <rPr>
        <sz val="11"/>
        <color theme="1"/>
        <rFont val="Calibri"/>
        <family val="2"/>
        <scheme val="minor"/>
      </rPr>
      <t xml:space="preserve"> 1 materialendatabank geraadpleegd; aanbodgestuurd ontwerpen gedegen bestudeerd; haalbare maatregelen zijn geïmplementeerd</t>
    </r>
  </si>
  <si>
    <t>Minimaal één materialendatabank is geraadpleegd voor het project met een circulair doel voor het project en kansen voor aanbodgestuurd ontwerpen zijn verkend en hebben geleid tot een alternatief plan voor materiaalinzet.</t>
  </si>
  <si>
    <r>
      <rPr>
        <u/>
        <sz val="11"/>
        <color theme="1"/>
        <rFont val="Calibri"/>
        <family val="2"/>
        <scheme val="minor"/>
      </rPr>
      <t>&gt;</t>
    </r>
    <r>
      <rPr>
        <sz val="11"/>
        <color theme="1"/>
        <rFont val="Calibri"/>
        <family val="2"/>
        <scheme val="minor"/>
      </rPr>
      <t xml:space="preserve"> 1 materialendatabank geraadpleegd; aanbodgestuurd ontwerpen gedegen bestudeerd; &gt;80% van de maatregelen geïmplementeerd op het max. realistische 10-R niveau</t>
    </r>
  </si>
  <si>
    <t>Minimaal één materialendatabank is geraadpleegd voor het project met een circulair doel voor het project en kansen voor aanbodgestuurd ontwerpen zijn diepgaand onderzocht en hebben geleid tot een haalbaar alternatief voor materiaalinzet dat in verdere planuitwerking wordt meegenomen.</t>
  </si>
  <si>
    <t>wegingspercentage subvraag c</t>
  </si>
  <si>
    <t>Cc</t>
  </si>
  <si>
    <t>maximaal aantal punten (ongewogen) voor: natuurlijke processen</t>
  </si>
  <si>
    <t>nader onderzoek: natuurlijke processen inzetten</t>
  </si>
  <si>
    <t>(Kansen voor) inzet van aanwezige natuurlijke processen zijn niet specifiek onderzocht voor het project</t>
  </si>
  <si>
    <t>(Potentiele kansen voor) inzet van aanwezige natuurlijke processen zijn niet specifiek onderzocht voor het ontwerp van het project</t>
  </si>
  <si>
    <t>Kansen voor inzet van natuurlijke processen zijn onderzocht voor alleen het project</t>
  </si>
  <si>
    <t>Potentiele kansen voor aanwezige natuurlijke processen zijn onderzocht voor het project.</t>
  </si>
  <si>
    <t>Potentiele kansen voor aanwezige natuurlijke processen zijn onderzocht voor het project en gebiedsontwikkeling</t>
  </si>
  <si>
    <t>Kansen voor inzet natuurlijke processen zijn onderzocht voor het project&amp;gebied; haalbaarheidsstudie uitgevoerd</t>
  </si>
  <si>
    <t>Potentiele kansen voor aanwezige natuurlijke processen zijn onderzocht voor het project en gebiedsontwikkeling. Consequenties van inzet van natuurlijke processen zijn in een haalbaarheidsstudie kaart gebracht voor het project en gebiedsontwikkeling</t>
  </si>
  <si>
    <t>Potentiele kansen voor aanwezige natuurlijke processen zijn onderzocht voor het project en gebiedsontwikkeling. Consequenties van inzet van natuurlijke processen zijn in een haalbaarheidsstudie kaart gebracht voor het project en gebiedsontwikkeling en worden afgewogen tegen andere circulariteitsmaatregelen. Haalbare maatregelen worden in het plan opgenomen.</t>
  </si>
  <si>
    <t>Da</t>
  </si>
  <si>
    <t>maximaal aantal punten (ongewogen) voor: herbruikbaarheid eindelevensduur</t>
  </si>
  <si>
    <t>nader onderzoek: herbruikbaarheid einde levensduur</t>
  </si>
  <si>
    <t>Herbruikbaarheid van materialen, etc. na einde levensduur is niet onderzocht</t>
  </si>
  <si>
    <t>Er is in het ontwerp geen rekening gehouden met herbruikbaarheid van materialen/elementen of een nieuwe functie ervan na einde levensduur.</t>
  </si>
  <si>
    <t>Er is in het ontwerp beperkt rekening gehouden met herbruikbaarheid van materialen/elementen of een nieuwe functie voor de materialen na einde levensduur. Dit komt tot uitdrukking in de materiaalkeuze en detaillering van verbindingen.</t>
  </si>
  <si>
    <t>Herbruikbaarheid van materialen, etc. is aangetoond op basis van duurzame materiaalkeuze en detaillering van verbindingen (losmaakbaarheid)</t>
  </si>
  <si>
    <t xml:space="preserve">Er is in het ontwerp zeer bewust rekening gehouden met herbruikbaarheid van materialen/elementen na einde levensduur of een nieuwe functie ervan. Dit komt tot uitdrukking in de materiaalkeuze en detaillering van verbindingen (losmaakbaarheid). </t>
  </si>
  <si>
    <t>Er is in het ontwerp zeer bewust rekening gehouden met herbruikbaarheid van materialen/elementen na einde levensduur of een nieuwe functie ervan. Dit komt tot uitdrukking in de materiaalkeuze en detaillering van verbindingen (losmaakbaarheid). Een relatie met het 10-R model voor circulariteit is gelegd.)</t>
  </si>
  <si>
    <t>Mogelijke inzet van materialen+hoeveelheden na einde levensduur is onderzocht op basis van 10-R en waar mogelijk verwerkt in materialenpaspoort</t>
  </si>
  <si>
    <t>Er is in het ontwerp zeer bewust rekening gehouden met herbruikbaarheid van materialen/elementen na einde levensduur of een nieuwe functie ervan. Dit komt tot uitdrukking in de materiaalkeuze en detaillering van verbindingen (losmaakbaarheid). Keuzes zijn onderbouwd op basis van het 10-R model voor circulariteit of circulariteitsindex.</t>
  </si>
  <si>
    <t>Db</t>
  </si>
  <si>
    <t>maximaal aantal punten (ongewogen) voor: materialenpaspoort</t>
  </si>
  <si>
    <t>nader onderzoek: materialenpaspoort</t>
  </si>
  <si>
    <t>Er is geen materialenpaspoort opgesteld voor toegepaste materialen in het project</t>
  </si>
  <si>
    <t>Er is geen materialenpaspoort opgesteld voor toegepast materiaal in het project</t>
  </si>
  <si>
    <t>Een aanzet voor het materialenpaspoort (+/- 15%). Er is nog geen beeld over het gebruik van de materialen na einde levensduur</t>
  </si>
  <si>
    <t>Een aanzet voor het materialenpaspoort is gemaakt (+/- 15%). Er is nog niet nagedacht over het gebruik van de materialen na de levensduur.</t>
  </si>
  <si>
    <t>Tenminste 50% van de materialen zijn opgenomen in een materialenpaspoort. &gt;80% daarvan heeft een bestemming voor hergebruik na einde levensduur</t>
  </si>
  <si>
    <t>tenminste 50% van de materialen zijn verwerkt in een (voorzet ten behoeve van het)  materialenpaspoort. Er is een bestemming voor het gebruik van de materialen na einde levensduur.</t>
  </si>
  <si>
    <t>tenminste 75% van de materialen zijn verwerkt in een (voorzet ten behoeve van het)  materialenpaspoort. Er is een bestemming voor het gebruik van de materialen na einde levensduur.</t>
  </si>
  <si>
    <t>Alle materialen zijn opgenomen in een materialenpaspoort. &gt; 80% daarvan heeft een bestemming voor hergebruik na einde levensduur</t>
  </si>
  <si>
    <t>Alle materialen in het alternatief zijn verwerkt in een (voorzet ten behoeve van het) materialenpaspoort. Minstens 85% van de materialen in het materialenpaspoort heeft een volwaardige bestemming na einde levensduur.</t>
  </si>
  <si>
    <t>Ea</t>
  </si>
  <si>
    <t>maximaal aantal punten (ongewogen) voor: adaptatie</t>
  </si>
  <si>
    <t>nader onderzoek: adaptatie</t>
  </si>
  <si>
    <t>Projectdoelstellingen worden in het  project uitgewerkt binnen de technische-, ruimtelijke- en beleidskaders zonder de omgeving actief te betrekken en zonder rekening te houden met toekomstige ontwikkelingen. Het alternatief sluit bewust of onbewust mogelijkheden voor toekomstige ruimtelijke ontwikkelingen uit.</t>
  </si>
  <si>
    <t>Uitwerking projectdoelstellingen binnen de gestelde kaders; er is ruimte voor toekomstige ontwikkelingen/klimaatverandering/natuurontwikkeling</t>
  </si>
  <si>
    <t>Projectdoelstellingen worden in  project uitgewerkt binnen de technische-, ruimtelijke- en beleidskaders zonder de omgeving actief te betrekken en zonder expliciet rekening te houden met toekomstige ontwikkelingen. Het alternatief sluit toekomstige ruimtelijke ontwikkelingen niet uit.</t>
  </si>
  <si>
    <t>Uitwerking projectdoelstellingen binnen de gestelde kaders; omgeving participeert actief; ruimtereservering tbv toekomstige ontwikkelingen / klimaatverandering/natuurontwikkeling</t>
  </si>
  <si>
    <t>Projectdoelstellingen worden binnen het project uitgewerkt binnen de technische-, ruimtelijke- en beleidskaders waarbij de omgeving wordt betrokken (wensen en eisen) en waarbij ruimte is voor met toekomstige ontwikkelingen, zoals klimaatverandering</t>
  </si>
  <si>
    <t>In het project worden, middels een actief omgevingsproces, ambities meegenomen in de projectdoelstellingen om meerwaarde te creëren. Er blijft ruimte voor toekomstige sociale en ruimtelijke ontwikkelingen en klimaatverandering.</t>
  </si>
  <si>
    <t>Gebiedsambities worden geïntegreerd; geanticipeerd wordt op mogelijke toekomstige sociale, ruimtelijke, klimatologische en natuurontwikkeling</t>
  </si>
  <si>
    <t>In het project wordt, naast het meenemen van ambities uit het gebied, ook geanticipeerd op mogelijke toekomstige sociale, ruimtelijke en klimatologische ontwikkelingen.</t>
  </si>
  <si>
    <t>Fa</t>
  </si>
  <si>
    <t>maximaal aantal punten (ongewogen) voor: beheeronderhoud</t>
  </si>
  <si>
    <t>nader onderzoek: beheer/onderhoudsaspecten en LCC</t>
  </si>
  <si>
    <t>In het ontwerp wordt niet expliciet rekening gehouden met beheer- en onderhoudsaspecten.</t>
  </si>
  <si>
    <t>Van het ontwerp is een berekening van de levensduurkosten (LCC) gemaakt</t>
  </si>
  <si>
    <t>Berekening van de levensduurkosten van het ontwerp is gemaakt.</t>
  </si>
  <si>
    <t>LCC is onderdeel van het ontwerpproces. LCC van circulaire alternatieven zijn niet hoger dan "conventioneel" (= referentie)</t>
  </si>
  <si>
    <t>Bij het ontwerpen wordt rekening gehouden met de levensduurkosten van het ontwerp. Uitgangspunt is dat het beheer niet duurder mag uitvallen dan "gemiddeld" (= referentie)</t>
  </si>
  <si>
    <t>Er is bewust ontworpen op lage beheer/onderhoudskosten. Materiaalkeuze wordt daarop afgestemd. De directe levensduurkosten van het project zijn meer dan 5% lager dan "gemiddeld"</t>
  </si>
  <si>
    <t>Materiaalkeuze is afgestemd op lage beheer/onderhoudskosten; LCC is afgezet tegen investeringskosten; LCC &lt; 80% xLCCconventioneel; optimalisatie mogelijk</t>
  </si>
  <si>
    <t>Er is bewust ontworpen op lage beheer/onderhoudskosten. Materiaalkeuze en het ontwerp (eenvoud, bereikbaarheid voor onderhoud) worden daarop afgestemd. De directe levensduurkosten van het project zijn meer dan 5% lager dan "gemiddeld" en/of zijn nog verder te optimaliseren.</t>
  </si>
  <si>
    <t>Ga</t>
  </si>
  <si>
    <t>maximaal aantal punten (ongewogen) voor: MKIberekening</t>
  </si>
  <si>
    <t>nader onderzoek: milieuimpact materialen /MKI (DuboCalc)</t>
  </si>
  <si>
    <t>Beperkt onderzoek maar geen onderdeel afweging van materiaalarm construeren, schaarse grondstof, hergebruik materiaal, (her)gebruik hernieuwbare en sec.(grond)stoffen</t>
  </si>
  <si>
    <t>Gb</t>
  </si>
  <si>
    <t>Gc</t>
  </si>
  <si>
    <t>maximaal aantal punten (ongewogen) voor: circulariteitberekening</t>
  </si>
  <si>
    <t>nader onderzoek: circulariteit/CB'23 materialenbalans</t>
  </si>
  <si>
    <t>Beperkt onderzoek maar geen onderdeel afweging circulaire alternatieven per materiaalsoort (10-R model) (preventie, hergebruik, recycling, hernieuwbaar, etc)</t>
  </si>
  <si>
    <t>Beperkt onderzoek maar wel onderdeel van circulaire alternatieven per materiaalsoort (10-R model) (preventie, hergebruik, recycling, hernieuwbaar, etc)</t>
  </si>
  <si>
    <t>Ha</t>
  </si>
  <si>
    <t>maximaal aantal punten (ongewogen) voor: CO2berekening</t>
  </si>
  <si>
    <t>nader onderzoek: CO2 impact materialen en energie</t>
  </si>
  <si>
    <t>Beperkt onderzoek maar geen onderdeel afweging beperking grondstof- en energiegebruik tijdens aanlegfase en van toekomstige gebruikers + opwekking hernieuwbare energie</t>
  </si>
  <si>
    <t>Beperkt onderzoek maar wel onderdeel afweging beperking grondstof- en energiegebruik tijdens aanlegfase en van toekomstige gebruikers + opwekking hernieuwbare energie</t>
  </si>
  <si>
    <t>Gedegen onderzoek mogelijkheden beperking grondstof- en energiegebruik tijdens aanlegfase/gebruiksfase + opwekking hernieuwbare energie + goed onderbouwde kwantificering</t>
  </si>
  <si>
    <t>Nummer</t>
  </si>
  <si>
    <t>Milieuimpact obv MKI kentallen &gt; 3 alternatieven + afgewogen tav materiaalarm construeren, schaarse grondstof, hergebruik materiaal, (her)gebruik hernieuwbare/sec.(grond)stoffen</t>
  </si>
  <si>
    <t>Milieuimpact obv DuboCalc &gt; 3 alternatieven + gedegen afweging tav materiaalarm construeren, schaarse grondstof, hergebruik materiaal, (her)gebruik hernieuwbare/sec.(grond)stoffen</t>
  </si>
  <si>
    <r>
      <t>CO</t>
    </r>
    <r>
      <rPr>
        <b/>
        <vertAlign val="subscript"/>
        <sz val="11"/>
        <color theme="1"/>
        <rFont val="Calibri"/>
        <family val="2"/>
        <scheme val="minor"/>
      </rPr>
      <t>2</t>
    </r>
    <r>
      <rPr>
        <b/>
        <sz val="11"/>
        <color theme="1"/>
        <rFont val="Calibri"/>
        <family val="2"/>
        <scheme val="minor"/>
      </rPr>
      <t xml:space="preserve"> impact materialen en energiegebruik</t>
    </r>
  </si>
  <si>
    <t>Levensduurverlenging is systematisch onderzocht (10-R); implementatie onzeker of &lt;50% van de haalbare maatregelen</t>
  </si>
  <si>
    <t>Levensduurverlenging is systematisch onderzocht (10-R); &gt;50% van de haalbare maatregelen geïmplementeerd</t>
  </si>
  <si>
    <t>Levensduurverlenging is systematisch onderzocht (10-R); &gt;80% van de haalbare maatregelen geïmplementeerd</t>
  </si>
  <si>
    <t>Levensduurverlenging is systematisch onderzocht (10-R); &gt;80% van de maatregelen op het hoogst realistische 10-R niveau geïmplementeerd</t>
  </si>
  <si>
    <r>
      <t>CO</t>
    </r>
    <r>
      <rPr>
        <vertAlign val="subscript"/>
        <sz val="14"/>
        <color theme="1"/>
        <rFont val="Calibri"/>
        <family val="2"/>
        <scheme val="minor"/>
      </rPr>
      <t>2</t>
    </r>
    <r>
      <rPr>
        <sz val="14"/>
        <color theme="1"/>
        <rFont val="Calibri"/>
        <family val="2"/>
        <scheme val="minor"/>
      </rPr>
      <t xml:space="preserve"> uitstoot project [ton CO</t>
    </r>
    <r>
      <rPr>
        <vertAlign val="subscript"/>
        <sz val="14"/>
        <color theme="1"/>
        <rFont val="Calibri"/>
        <family val="2"/>
        <scheme val="minor"/>
      </rPr>
      <t>2</t>
    </r>
    <r>
      <rPr>
        <sz val="14"/>
        <color theme="1"/>
        <rFont val="Calibri"/>
        <family val="2"/>
        <scheme val="minor"/>
      </rPr>
      <t>]</t>
    </r>
  </si>
  <si>
    <r>
      <t>CO</t>
    </r>
    <r>
      <rPr>
        <vertAlign val="subscript"/>
        <sz val="14"/>
        <color theme="1"/>
        <rFont val="Calibri"/>
        <family val="2"/>
        <scheme val="minor"/>
      </rPr>
      <t>2</t>
    </r>
    <r>
      <rPr>
        <sz val="14"/>
        <color theme="1"/>
        <rFont val="Calibri"/>
        <family val="2"/>
        <scheme val="minor"/>
      </rPr>
      <t xml:space="preserve"> referentie [ton CO</t>
    </r>
    <r>
      <rPr>
        <vertAlign val="subscript"/>
        <sz val="14"/>
        <color theme="1"/>
        <rFont val="Calibri"/>
        <family val="2"/>
        <scheme val="minor"/>
      </rPr>
      <t>2</t>
    </r>
    <r>
      <rPr>
        <sz val="14"/>
        <color theme="1"/>
        <rFont val="Calibri"/>
        <family val="2"/>
        <scheme val="minor"/>
      </rPr>
      <t>]</t>
    </r>
  </si>
  <si>
    <r>
      <t>CO</t>
    </r>
    <r>
      <rPr>
        <vertAlign val="subscript"/>
        <sz val="14"/>
        <color theme="1"/>
        <rFont val="Calibri"/>
        <family val="2"/>
        <scheme val="minor"/>
      </rPr>
      <t>2</t>
    </r>
    <r>
      <rPr>
        <sz val="14"/>
        <color theme="1"/>
        <rFont val="Calibri"/>
        <family val="2"/>
        <scheme val="minor"/>
      </rPr>
      <t>project/CO</t>
    </r>
    <r>
      <rPr>
        <vertAlign val="subscript"/>
        <sz val="14"/>
        <color theme="1"/>
        <rFont val="Calibri"/>
        <family val="2"/>
        <scheme val="minor"/>
      </rPr>
      <t>2</t>
    </r>
    <r>
      <rPr>
        <sz val="14"/>
        <color theme="1"/>
        <rFont val="Calibri"/>
        <family val="2"/>
        <scheme val="minor"/>
      </rPr>
      <t>referentie</t>
    </r>
  </si>
  <si>
    <t>Opdrachtgever:</t>
  </si>
  <si>
    <r>
      <t xml:space="preserve">- Na invoer van alle circulaire ontwerpprincipes keuzes zijn ingevoerd, verschijnt de </t>
    </r>
    <r>
      <rPr>
        <i/>
        <sz val="11"/>
        <color theme="8"/>
        <rFont val="Calibri"/>
        <family val="2"/>
        <scheme val="minor"/>
      </rPr>
      <t>Proces - CPI</t>
    </r>
    <r>
      <rPr>
        <sz val="11"/>
        <color theme="8"/>
        <rFont val="Calibri"/>
        <family val="2"/>
        <scheme val="minor"/>
      </rPr>
      <t xml:space="preserve"> van het project</t>
    </r>
  </si>
  <si>
    <r>
      <t>Te beoordelen fase</t>
    </r>
    <r>
      <rPr>
        <b/>
        <sz val="12"/>
        <color theme="8"/>
        <rFont val="Calibri"/>
        <family val="2"/>
        <scheme val="minor"/>
      </rPr>
      <t>:</t>
    </r>
  </si>
  <si>
    <t>Locatie project:</t>
  </si>
  <si>
    <t>Naam alternatief:</t>
  </si>
  <si>
    <t>Toelichting op gemaakte keuzes</t>
  </si>
  <si>
    <t>Reductie t.o.v. referentie</t>
  </si>
  <si>
    <r>
      <t>CO</t>
    </r>
    <r>
      <rPr>
        <b/>
        <vertAlign val="subscript"/>
        <sz val="14"/>
        <color rgb="FFFFFFFF"/>
        <rFont val="Calibri"/>
        <family val="2"/>
        <scheme val="minor"/>
      </rPr>
      <t>2</t>
    </r>
    <r>
      <rPr>
        <b/>
        <sz val="14"/>
        <color rgb="FFFFFFFF"/>
        <rFont val="Calibri"/>
        <family val="2"/>
        <scheme val="minor"/>
      </rPr>
      <t xml:space="preserve"> uitstoot klimaatverandering (materiaal + energie gebruiksfase)</t>
    </r>
  </si>
  <si>
    <t>bonus</t>
  </si>
  <si>
    <t>score voor de 8 ontwerpprincipes volgens het MIRT</t>
  </si>
  <si>
    <t>onbenut</t>
  </si>
  <si>
    <t>Plaats / Locatie:</t>
  </si>
  <si>
    <t>Alternatief:</t>
  </si>
  <si>
    <t>In opdracht van Waterschap Vallei en Veluwe heeft WSP de Circulaire Peiler opgesteld als algemeen afwegingskader voor circulariteit.</t>
  </si>
  <si>
    <t>https://platformcb23.nl/images/downloads/2020/meten-van-circulariteit/20200702_Platform_CB23_Leidraad_Meten_van_circulariteit_versie_2.pdf)</t>
  </si>
  <si>
    <t>Wegingspercentages uit het TABBLAD 'info weging' zijn gefixeerd voor alle fasen. Eigen waarden zijn in te vullen onder het oranje blok.</t>
  </si>
  <si>
    <t>De som van de wegingspercentages voor de acht circulaire ontwerpprincipes tezamen is 100%.</t>
  </si>
  <si>
    <t>De subvragen worden per circulariteitsprincipe gewogen via een weegfactor (percentage).</t>
  </si>
  <si>
    <t>De som van die weegfactoren van de circulariteitsprincipes is 100%. Als er maar één (sub)vraag is, dan is de relatieve score 100%.</t>
  </si>
  <si>
    <t>U kunt facultatief voor eigen studies alternatieve weegfactoren invoeren in de kolom 'eigen waarde' (onder de oranje cel).</t>
  </si>
  <si>
    <t>In TABblad 'info weging' staat een korte toelichting gegeven op de doelen. Pulldown menu's bevatten een verkorte tekst.</t>
  </si>
  <si>
    <t>Gerealiseerde prestaties worden in het tabblad "INVOER Basis" ingevoerd door te klikken op een lichtgrijze cel . Daarna verschijnt een pull-down menu.</t>
  </si>
  <si>
    <t>Na de selectie uit het pull-down menu verschijnen op het scherm de puntenscore en de wegingen.</t>
  </si>
  <si>
    <t>Als de doelstellingen zijn ingevuld, verschijnt de puntenscore per ontwerpprincipe.</t>
  </si>
  <si>
    <t xml:space="preserve">Hoe hoger de waarde van de CPI (Circulair Peil Index), hoe beter het circulaire peil is. Hoe dichter de CPI bij 100 komt, hoe groter de kans dat </t>
  </si>
  <si>
    <t>circulaire overheidsdoelen '2030' worden bereikt. Immers het proces is optimaal ingericht op het bereiken van hoge circulariteitsdoelen.</t>
  </si>
  <si>
    <t>Het vergelijken van deze twee diagrammen maakt duidelijk waar kansen zijn blijven liggen.</t>
  </si>
  <si>
    <t>waarin de onderbouwing van de input wordt gegeven.</t>
  </si>
  <si>
    <t>Bewijsmateriaal' t.a.v. de invoer dient separaat te worden aangeleverd. In de Peiler kan in de INVOER tabbladen worden verwezen naar de rapportages.</t>
  </si>
  <si>
    <t>De keuze is te resetten via de toets &lt; delete&gt;  op het toetsenbord.</t>
  </si>
  <si>
    <t>Maximaal 10 bonuspunten mogen worden toegekend voor innovatie. Bij het invoertabblad dient een toelichting op de bonus te worden gegeven.</t>
  </si>
  <si>
    <t xml:space="preserve">De bonuspunten zijn geen invoer-item in de CPI-rekentool. </t>
  </si>
  <si>
    <t>MCI project</t>
  </si>
  <si>
    <t>MCI referentie</t>
  </si>
  <si>
    <t>Circulariteit op basis van data kernmeetmethode CB'23</t>
  </si>
  <si>
    <t>MCI project-MCI referentie</t>
  </si>
  <si>
    <t>Gedegen onderzoek naar circulaire alternatieven (10-R model) + kwantificering &gt; 3 alternatieven op basis van MCI CB'23 (detailberekening)</t>
  </si>
  <si>
    <t>Gedegen onderzoek naar circulaire alternatieven (10-R model) + kwantificering &gt; 3 alternatieven op basis van MCI CB'23 (met gebruik van kengetallen)</t>
  </si>
  <si>
    <r>
      <t>MCI*</t>
    </r>
    <r>
      <rPr>
        <sz val="8"/>
        <color theme="1"/>
        <rFont val="Calibri"/>
        <family val="2"/>
        <scheme val="minor"/>
      </rPr>
      <t>(CB'23)</t>
    </r>
  </si>
  <si>
    <t>(bron: https://platformcb23.nl/images/downloads/2020/meten-van-circulariteit/20200702_Platform_CB23_Leidraad_Meten_van_circulariteit_versie_2.pdf)</t>
  </si>
  <si>
    <t xml:space="preserve">MCI CB'23 = bepalingsmethode MCI (circulariteitsindex materialen) op basis van bijlage G Leidraad meten van circulariteit (Kernmeetmethode voor circulariteit), CB'23 </t>
  </si>
  <si>
    <t>Duurzaam materiaalgebruik (hoeveel x milieubelasting)</t>
  </si>
  <si>
    <t>a. Optimaliseer milieuimpact - met MKI berekening als hulpmiddel en 10-R model als afwegingskader</t>
  </si>
  <si>
    <t>b. Optimaliseer circulariteit - MCI berekening met Materiaal input/output Kernmeetmethode CB'23 als hulpmiddel en 10-R model</t>
  </si>
  <si>
    <t>a. CO2 impact materialen en energiegebruik beperken (optimaliseer milieubelasting en hoeveelheid, optimaliseer circulariteit) - hanteer 10-R model als afwegingskader</t>
  </si>
  <si>
    <r>
      <rPr>
        <sz val="11"/>
        <rFont val="Calibri"/>
        <family val="2"/>
        <scheme val="minor"/>
      </rPr>
      <t>BONUS</t>
    </r>
    <r>
      <rPr>
        <sz val="11"/>
        <color theme="1"/>
        <rFont val="Calibri"/>
        <family val="2"/>
        <scheme val="minor"/>
      </rPr>
      <t xml:space="preserve"> (additionele innovatieve circulaire maatregelen) (eigen waarde handmatig invoeren, </t>
    </r>
    <r>
      <rPr>
        <sz val="11"/>
        <color rgb="FF00B0F0"/>
        <rFont val="Calibri"/>
        <family val="2"/>
        <scheme val="minor"/>
      </rPr>
      <t>maximaal 10 PNT</t>
    </r>
    <r>
      <rPr>
        <sz val="11"/>
        <color theme="1"/>
        <rFont val="Calibri"/>
        <family val="2"/>
        <scheme val="minor"/>
      </rPr>
      <t>)</t>
    </r>
  </si>
  <si>
    <t>V2.0/a</t>
  </si>
  <si>
    <t>Ruimte voor opmerkingen</t>
  </si>
  <si>
    <t xml:space="preserve">Deze is te downloaden: </t>
  </si>
  <si>
    <t>Berekend worden een MKI reductie, een MCI reductie en een CO2 procentuele reductie van een project ten opzichte van een referentie.</t>
  </si>
  <si>
    <t>In het tabblad 'print Basis' zijn de resultaten van de basisberekening uit 'INVOER Basis' samengevat. Dit blad is te gebruiken als printuitvoer.</t>
  </si>
  <si>
    <t>In de tabbladen A1 t/m D1 zijn alternatieven te berekenen. In de tabbladen print A1 t/m D1 staan de resultaten samengevat voor printuitvoer.</t>
  </si>
  <si>
    <t>Ongewogen score over 12 items uit de procesmonitor. Vergelijking van 5 alternatieven.</t>
  </si>
  <si>
    <t>milieukosten; MKI reductie / MKI ref</t>
  </si>
  <si>
    <t>circulariteit: MCI reductie / MCI ref</t>
  </si>
  <si>
    <t>CO2 reductie: CO2reductie / CO2 ref</t>
  </si>
  <si>
    <t>Kansen voor verbetering van de circulariteit van het project</t>
  </si>
  <si>
    <t>Naam project:</t>
  </si>
  <si>
    <t>Alternatief</t>
  </si>
  <si>
    <t>Versie:</t>
  </si>
  <si>
    <t>MCI project [-]</t>
  </si>
  <si>
    <t>MCI referentie [-]</t>
  </si>
  <si>
    <r>
      <rPr>
        <b/>
        <sz val="11"/>
        <color rgb="FF428BCE"/>
        <rFont val="Calibri"/>
        <family val="2"/>
        <scheme val="minor"/>
      </rPr>
      <t xml:space="preserve">De circulariteitsindex voor materialen (MCI) </t>
    </r>
    <r>
      <rPr>
        <sz val="11"/>
        <color rgb="FF428BCE"/>
        <rFont val="Calibri"/>
        <family val="2"/>
        <scheme val="minor"/>
      </rPr>
      <t>wordt berekend op basis van de formules in bijlage G van de kernmeetmethode voor circulariteit van CB'23</t>
    </r>
  </si>
  <si>
    <r>
      <rPr>
        <b/>
        <sz val="11"/>
        <color rgb="FF428BCE"/>
        <rFont val="Calibri"/>
        <family val="2"/>
        <scheme val="minor"/>
      </rPr>
      <t xml:space="preserve">De CO2 uitstoot </t>
    </r>
    <r>
      <rPr>
        <sz val="11"/>
        <color rgb="FF428BCE"/>
        <rFont val="Calibri"/>
        <family val="2"/>
        <scheme val="minor"/>
      </rPr>
      <t xml:space="preserve">wordt berekend voor de materialen op basis van het onderdeel CO2 uit de MKI berekening, aangevuld met energiebesparing </t>
    </r>
  </si>
  <si>
    <t>en verminderd met de opbrengst van duurzame energiebronnen.</t>
  </si>
  <si>
    <t>voor de MKI, MCI en CO2 berekeningen. De uitgangspunten van die KOSWAT-berekening is de referentie voor de bepaling van de MKI, MCI en de CO2 uitstoot.</t>
  </si>
  <si>
    <t>In overleg met de opdrachtgever dient de referentie te worden vastgesteld. Voor dijken kan een KOSWAT-berekening als referentie worden aangehouden</t>
  </si>
  <si>
    <t xml:space="preserve">In het tabblad 'info vergelijk' zijn de resultaten van de Basis en de alternatieven A1 t/m D1 zowel numeriek als grafisch te vergelijken. </t>
  </si>
  <si>
    <t>CPI score</t>
  </si>
  <si>
    <t>Voorafgaand aan de berekening van het Circulaire Peil dienen alle rode/oranje cijfers te zijn ingevuld in het tabblad 'info weging'</t>
  </si>
  <si>
    <t>BONUS (additionele innovatieve circulaire maatregelen) (eigen waarde handmatig invoeren, maximaal 10 PNT)</t>
  </si>
  <si>
    <r>
      <rPr>
        <b/>
        <sz val="11"/>
        <color theme="1"/>
        <rFont val="Calibri"/>
        <family val="2"/>
        <scheme val="minor"/>
      </rPr>
      <t>BONUS</t>
    </r>
    <r>
      <rPr>
        <sz val="11"/>
        <color theme="1"/>
        <rFont val="Calibri"/>
        <family val="2"/>
        <scheme val="minor"/>
      </rPr>
      <t xml:space="preserve"> (innovatieve maatregelen, max 10 pnt)</t>
    </r>
  </si>
  <si>
    <t>1. Verklein de omvang van opgave</t>
  </si>
  <si>
    <t>2. Verleng de levensduur van bestaande objecten of componenten</t>
  </si>
  <si>
    <t>3. Maak duurzaam gebruik van bestaande objecten, materialen, grondstoffen en natuurlijke processen</t>
  </si>
  <si>
    <t>4. Ontwerp voor meerdere levenscycli. Herbruikbaarheid van materialen na einde levensduur</t>
  </si>
  <si>
    <t>5. Ontwerp toekomstbestendig. Adaptief vermogen, betrekken omgeving bij planvorming</t>
  </si>
  <si>
    <t xml:space="preserve">6. Ontwerp voor optimaal beheer en onderhoud </t>
  </si>
  <si>
    <t>7. Duurzaam materiaalgebruik (hoeveelxmilieubelasting). Bereken en optimaliseer MKI (milieukosten) en MCI (circulariteit)</t>
  </si>
  <si>
    <t>8. Ontwerp voor minimaal grondstof- en energiegebruik tijdens de aanleg en gebruiksfase</t>
  </si>
  <si>
    <t>totaal 1 t/m 8</t>
  </si>
  <si>
    <t>wegingspercentage circulariteitsprincipe 1</t>
  </si>
  <si>
    <t>wegingspercentage circulariteitsprincipe 2</t>
  </si>
  <si>
    <t>wegingspercentage circulariteitsprincipe 3</t>
  </si>
  <si>
    <t>wegingspercentage circulariteitsprincipe 4</t>
  </si>
  <si>
    <t>wegingspercentage circulariteitsprincipe 5</t>
  </si>
  <si>
    <t>wegingspercentage circulariteitsprincipe 6</t>
  </si>
  <si>
    <t>wegingspercentage circulariteitsprincipe 7</t>
  </si>
  <si>
    <t>wegingspercentage circulariteitsprincipe 8</t>
  </si>
  <si>
    <t>totaal wegingspercentage subvraag 8a</t>
  </si>
  <si>
    <t>totaal wegingspercentage subvraag 7b</t>
  </si>
  <si>
    <t>totaal wegingspercentage subvraag 7a</t>
  </si>
  <si>
    <t>totaal wegingspercentage subvraag 6a</t>
  </si>
  <si>
    <t>totaal wegingspercentage subvraag 5a</t>
  </si>
  <si>
    <t>totaal wegingspercentage subvraag 4b</t>
  </si>
  <si>
    <t>totaal wegingspercentage subvraag 4a</t>
  </si>
  <si>
    <t>totaal wegingspercentage subvraag 3c</t>
  </si>
  <si>
    <t>totaal wegingspercentage subvraag 3b</t>
  </si>
  <si>
    <t>totaal wegingspercentage subvraag 3a</t>
  </si>
  <si>
    <t>totaal wegingspercentage subvraag 2a</t>
  </si>
  <si>
    <t>totaal wegingspercentage subvraag 1a</t>
  </si>
  <si>
    <t>* De som van de wegingspercentages van de CirculariteitsPrincipes 1 t/m 8 (rode percentages) is 100%</t>
  </si>
  <si>
    <t>CPI (Circulair Peil Index)</t>
  </si>
  <si>
    <t>Alleen de resultaten van INVOER Basis, A1, B1, C1 en D1 in de gele cellen worden grafisch weergegeven.</t>
  </si>
  <si>
    <t>nadat alle invoervelden zijn ingevoerd.</t>
  </si>
  <si>
    <t>lijn zijn invoervelden. De CPI verschijnt op het scherm</t>
  </si>
  <si>
    <t>TABBLAD invoer (Basis, A1, B1, C1, D1)</t>
  </si>
  <si>
    <t>TABBLAD print (Basis, A1, B1, C1, D1)</t>
  </si>
  <si>
    <t>Alle grijze blokken naast de verdikte vertikale</t>
  </si>
  <si>
    <t>Afwijkende weegfactoren kunnen worden ingevoerd in de kolom 'eigen waarde'.</t>
  </si>
  <si>
    <t>Bonus</t>
  </si>
  <si>
    <t>De som van de weegfactoren dient 100% te bedragen.</t>
  </si>
  <si>
    <t>Vergelijking van de werkelijke en maximum score CPI (Circulaire Peil Index)</t>
  </si>
  <si>
    <t xml:space="preserve">Grafische weergave verbetering van de MKI, MCI en CO2 score </t>
  </si>
  <si>
    <t>ten opzichte van een referentie.</t>
  </si>
  <si>
    <t>(CPI als procesmonitor)</t>
  </si>
  <si>
    <t>Kwalitatief: CPI</t>
  </si>
  <si>
    <t>Kwantitatief (t.o.v. een referentie): MKI, MCI, CO2</t>
  </si>
  <si>
    <t>Overzicht van geselecteerde invoergegevens en output resultaten per variant.</t>
  </si>
  <si>
    <t>Informatief blok</t>
  </si>
  <si>
    <t>B1</t>
  </si>
  <si>
    <t>C1</t>
  </si>
  <si>
    <t>WEEGFACTOREN CIRCULARITEITSPRINCIPES (1 t/m 8) EN SUBVRAGEN (a t/m c)*</t>
  </si>
  <si>
    <t>Projectnaam</t>
  </si>
  <si>
    <t>Plaatsnaam</t>
  </si>
  <si>
    <t>invoer Basis</t>
  </si>
  <si>
    <t>Test</t>
  </si>
  <si>
    <t>A1</t>
  </si>
  <si>
    <t>Naam opdrachtgever</t>
  </si>
  <si>
    <t>D1</t>
  </si>
  <si>
    <t>B2</t>
  </si>
  <si>
    <t>B3</t>
  </si>
  <si>
    <t>B4</t>
  </si>
  <si>
    <t>A2</t>
  </si>
  <si>
    <t>A3</t>
  </si>
  <si>
    <t>A4</t>
  </si>
  <si>
    <t>C2</t>
  </si>
  <si>
    <t>C3</t>
  </si>
  <si>
    <t>C4</t>
  </si>
  <si>
    <t>D2</t>
  </si>
  <si>
    <t>D3</t>
  </si>
  <si>
    <t>D4</t>
  </si>
  <si>
    <t>Bas Is</t>
  </si>
  <si>
    <t>SNELLE START INSTRUCTIE</t>
  </si>
  <si>
    <t>►Introductie + helpdesk</t>
  </si>
  <si>
    <t>►Snelle-start / de knoppen</t>
  </si>
  <si>
    <t>►Veel gestelde vragen (FAQ)</t>
  </si>
  <si>
    <t>1. Introductie + helpdesk</t>
  </si>
  <si>
    <t>Het project is mogelijk gemaakt door een innovatiebeschikking van het HWBP.</t>
  </si>
  <si>
    <t>DOEL</t>
  </si>
  <si>
    <t>Het doel van het instrument Circulaire Peiler is duurzame, circulaire ontwikkeling te stimuleren. Het verkrijgen van inzicht hoe duurzaam</t>
  </si>
  <si>
    <t>een project is en welke maatregelen effectief bijdragen aan circulariteit is daarbij van belang.</t>
  </si>
  <si>
    <t>Werken met de Circulaire Peiler moet bijdragen aan inzicht welke maatregelen effectief bijdragen bij aan realisatie van een volledig</t>
  </si>
  <si>
    <t>circulaire economie waarbij materiaalgebruik wordt geminimaliseerd en weinig milieubelastende materialen worden ingezet.</t>
  </si>
  <si>
    <t>PRINCIPE</t>
  </si>
  <si>
    <t>Het principe is eenvoudig. Er is een kwalitatieve en kwantitatieve beoordeling van de circulariteit van projecten</t>
  </si>
  <si>
    <t>Gerealiseerde doelstellingen krijgen punten toegekend. Hoe meer punten, hoe circulairder een ontwikkeling is. De peilstok reikt van CPI = 0 tot 100 [-].</t>
  </si>
  <si>
    <t>CPI is de Circulair Peil Index. Hoe dichter CPI bij 100 komt, hoe meer tijdens de ontwikkeling is gestuurd op het meest circulaire resultaat.</t>
  </si>
  <si>
    <t xml:space="preserve">Gerealiseerde doelstellingen worden in de CPI per fase gewaardeerd via een puntenscore. Kwalitatieve beoordelingsaspecten worden </t>
  </si>
  <si>
    <t xml:space="preserve">gewogen, waarbij de weging verschilt per fase. </t>
  </si>
  <si>
    <t>Kwantitatief wordt het resultaat beoordeeld door de MKI, CO2 en de circulariteitsindex CI (CB'23) te berekenen en te vergelijken met een referentie.</t>
  </si>
  <si>
    <t>VERSIE 2</t>
  </si>
  <si>
    <t>In deze tweede versie van de Circulaire Peiler wordt een onderscheid gemaakt in een kwalitatieve procesbeoordeling via de CPI en een</t>
  </si>
  <si>
    <t xml:space="preserve">kwantitatieve beoordeling van de procentuele reductie van de MKI, Circulariteitsindex (CB'23) en de CO2-uitstoot ten opzichte van een referentie. </t>
  </si>
  <si>
    <t>HELPDESK</t>
  </si>
  <si>
    <t>Voor vragen en nadere informatie: heike.gaasbeek@wsp.com  (0615484349) (Helpdesk WSP)</t>
  </si>
  <si>
    <t>2. Snelle-start / de knoppen</t>
  </si>
  <si>
    <t>►2.1 Werkwijze beoordeling implementatie circulariteit met de Circulaire Peiler</t>
  </si>
  <si>
    <t>►2.2 Procesmatige beoordeling via multi-criteria (algemeen)</t>
  </si>
  <si>
    <t>►2.3 Knoppen voor de procesmatige beoordeling</t>
  </si>
  <si>
    <t>►2.4 Kwantitatieve beoordeling milieueffect: MKI / CO2 / CI (CB'23)</t>
  </si>
  <si>
    <t>►2.5 Samenvatting resultaten voor printuitvoer</t>
  </si>
  <si>
    <t>►2.6 Vergelijking alternatieven</t>
  </si>
  <si>
    <t>2.1 WERKWIJZE BEOORDELING IMPLEMENTATIE CIRCULARITEIT IN ONTWIKKELINGSPROCES MET DE CIRCULAIRE PEILER</t>
  </si>
  <si>
    <t>Circulaire peiler beoordeelt implementatie van circulariteit in het ontwikkelingsproces zowel procesmatig als kwantitatief</t>
  </si>
  <si>
    <r>
      <rPr>
        <i/>
        <sz val="11"/>
        <color rgb="FF0070C0"/>
        <rFont val="Calibri"/>
        <family val="2"/>
        <scheme val="minor"/>
      </rPr>
      <t>Kwalitatieve procesbeoordeling:</t>
    </r>
    <r>
      <rPr>
        <sz val="11"/>
        <color rgb="FF0070C0"/>
        <rFont val="Calibri"/>
        <family val="2"/>
        <scheme val="minor"/>
      </rPr>
      <t xml:space="preserve"> CPI (Circulaire Peil Index) beoordeelt of in de verschillende fasen van het ontwikkelingsproces voldoende doelstellingen</t>
    </r>
  </si>
  <si>
    <r>
      <rPr>
        <i/>
        <sz val="11"/>
        <color rgb="FF0070C0"/>
        <rFont val="Calibri"/>
        <family val="2"/>
        <scheme val="minor"/>
      </rPr>
      <t>Kwantitatieve resultaatsbeoordeling:</t>
    </r>
    <r>
      <rPr>
        <sz val="11"/>
        <color rgb="FF0070C0"/>
        <rFont val="Calibri"/>
        <family val="2"/>
        <scheme val="minor"/>
      </rPr>
      <t xml:space="preserve"> Het nemen van de juiste procesmatige activiteiten, zal ertoe leiden dat de impact op de</t>
    </r>
  </si>
  <si>
    <t>2.2 PROCESMATIGE BEOORDELING VIA MULTICRITERIA</t>
  </si>
  <si>
    <t>Wegingspercentage voor de 8 circulariteitsprincipes</t>
  </si>
  <si>
    <t>De circulaire peiler is gebaseerd op de 8 circulaire ontwerpprincipes voor het MIRT-proces. Elk ontwerpprincipe heeft in de Circulaire Peiler een eigen kleur.</t>
  </si>
  <si>
    <t>De circuclaire peiler toetst per op onderdelen per circulair ontwerpprincipe. Dat kan kwalitatief (proces) en/of kwantitatief (resultaat) zijn.</t>
  </si>
  <si>
    <t>Het principe is: hoe hoger de CPI, hoe beter de waardering van de geleverde inspanningen om de circulariteit te verbeteren.</t>
  </si>
  <si>
    <t>Voor elk van de acht circulariteitsprincipes dient per fase van het ontwikkelingsproces het relatieve belang te worden vastgesteld.</t>
  </si>
  <si>
    <t>Wegingspercentage per subvraag voor een circulariteitsprincipe</t>
  </si>
  <si>
    <t xml:space="preserve">Een aantal circulariteitsprincipes heeft subdoelstellingen die worden weergegeven in subvragen. </t>
  </si>
  <si>
    <t>Puntentoekenning per gerealiseerd doel</t>
  </si>
  <si>
    <t>Die circulariteitsniveaus worden gewaardeerd in punten. Zeer hoge scores (&gt;75) sluiten aan bij het streefniveau voor circulariteit in 2030.</t>
  </si>
  <si>
    <t>Toelichting op de gerealiseerde doelen</t>
  </si>
  <si>
    <t>Kort is omschreven wat de behaalde doelstellingen moeten zijn om te kunnen scoren op een bepaald niveau.</t>
  </si>
  <si>
    <t>2.3 PROCESMATIGE BEOORDELING: INPUT GEREALISEERDE DOELSTELLINGEN PER PROJECT PER PROJECTFASE IN "INVOER PEILER"</t>
  </si>
  <si>
    <t>In het tabblad 'invoer Basis' dienen alle cellen achter de zwarte kolom te worden ingevuld. Veelal kan dit door middel van een pull-down menu.</t>
  </si>
  <si>
    <t>Na invoer van de projectfase in het tabblad 'INVOER Basis' zijn de weegfactoren automatisch geselecteerd conform TABBLAD 'info weging'.</t>
  </si>
  <si>
    <t xml:space="preserve">De automatisch gegenereerde diagrammen geven alleen de correcte eindscore als alle doelstellingen zijn ingevuld voor </t>
  </si>
  <si>
    <t>de acht ontwerpprincipes+subvragen. Bij de rode pijl staat het aantal "gemiste" punten. Het totaal is altijd 100.</t>
  </si>
  <si>
    <t xml:space="preserve">Automatisch wordt in de tabbladen "invoer Basis" en "print Basis" de input van de gerealiseerde projectdoelstellingen overgenomen. </t>
  </si>
  <si>
    <t>2.4 KWANTITATIEVE BEOORDELING MILIEUEFFECT: RELATIEVE REDUCTIE TEN OPZICHTE VAN EEN REFERENTIE</t>
  </si>
  <si>
    <t>Beoordeling MKI, CO2 en MCI (CB'23): project en referentie</t>
  </si>
  <si>
    <t>De Circulaire Peiler beoordeelt voor de milieukosten (MKI), circulariteit van materialen (MCI) en de CO2 uitstoot op basis van een "relatieve prestatie"</t>
  </si>
  <si>
    <t>van een project. De prestatie van het project wordt vergeleken met een referentie.</t>
  </si>
  <si>
    <r>
      <rPr>
        <b/>
        <sz val="11"/>
        <color rgb="FF428BCE"/>
        <rFont val="Calibri"/>
        <family val="2"/>
        <scheme val="minor"/>
      </rPr>
      <t xml:space="preserve">De milieukostenindicator (MKI) </t>
    </r>
    <r>
      <rPr>
        <sz val="11"/>
        <color rgb="FF428BCE"/>
        <rFont val="Calibri"/>
        <family val="2"/>
        <scheme val="minor"/>
      </rPr>
      <t>wordt berekend op basis materiaalhoeveelheden en de milieubelasting volgens LCA gegevens betrokken uit de</t>
    </r>
  </si>
  <si>
    <t xml:space="preserve"> Nationale Milieu Database (NMD). MKI berekeningen kunnen worden uitgevoerd met bijvoorbeeld het rekenprogramma DuboCalc.</t>
  </si>
  <si>
    <r>
      <t xml:space="preserve">Let op: Er is (nog) géén standaard </t>
    </r>
    <r>
      <rPr>
        <b/>
        <sz val="11"/>
        <color rgb="FF428BCE"/>
        <rFont val="Calibri"/>
        <family val="2"/>
        <scheme val="minor"/>
      </rPr>
      <t>bepalingsmethode voor het vaststellen van de referentie</t>
    </r>
    <r>
      <rPr>
        <sz val="11"/>
        <color rgb="FF428BCE"/>
        <rFont val="Calibri"/>
        <family val="2"/>
        <scheme val="minor"/>
      </rPr>
      <t>. De referentie is in beginsel een qua materialisatie traditioneel</t>
    </r>
  </si>
  <si>
    <t>(conservatief) referentieniveau. Van de te bepalen referentie-situatie wordt de MKI, MCI en de CO2 uitstoot bepaald.</t>
  </si>
  <si>
    <t>Berekeningsresultaten van de MKI, MCI (volgens bijlage G Kernmeetmethode CB'23) en CO2 van de ontwikkeling en de referentie moeten worden ingevoerd.</t>
  </si>
  <si>
    <t>Respectievelijk zijn grafisch weergegeven de MKI (groen), MCI (blauw) en CO2 (rood) (kwantitatieve data invoeren in de grijze vlakken).</t>
  </si>
  <si>
    <t>Het programma berekent de reductiepercentages.</t>
  </si>
  <si>
    <t>2.5 Samenvatting resultaten voor printuitvoer</t>
  </si>
  <si>
    <t>Het te printen blad dient in excel te worden geselecteerd.</t>
  </si>
  <si>
    <t>2.6 Vergelijking alternatieven</t>
  </si>
  <si>
    <t>Nadat alternatieven zijn ingevoerd in tabbladen A1 t/m D1, volgt automatisch een overzicht met alle alternatieven op een rij.</t>
  </si>
  <si>
    <t>3. Veel gestelde vragen</t>
  </si>
  <si>
    <t>►3.1 Inhoudelijke vragen</t>
  </si>
  <si>
    <t>►3.2 Tips en aandachtspunten</t>
  </si>
  <si>
    <t>►3.3 Help</t>
  </si>
  <si>
    <t>3.1 Inhoudelijke vragen</t>
  </si>
  <si>
    <t>►</t>
  </si>
  <si>
    <t>Hoe is de Circulaire Peiler gekoppeld aan klimaatdoelen/ grondstoffenakkoord?</t>
  </si>
  <si>
    <t>De overheid streeft naar een volledig circulaire economie zonder afval, waarbij alles draait op herbruikbare grondstoffen in 2050 en in 2030 is het streven 50% van de</t>
  </si>
  <si>
    <t xml:space="preserve">milieubelasting ten opzichte van 1990. Dit is een forse opgave. Met als doel bij te dragen aan een circulaire economie, heeft Waterschap Vallei en Veluwe </t>
  </si>
  <si>
    <t xml:space="preserve">samen met WSP de Circulaire Peiler ontwikkeld. Het is het instrumentarium behorend bij een algemeen afwegingskader voor circulariteit in projecten. </t>
  </si>
  <si>
    <t>De Circulaire Peiler beoogt inzicht te creëren welke maatregelen meer of minder bijdragen aan circulariteit bij iedereen die betrokken is bij duurzame</t>
  </si>
  <si>
    <t>dijk- en gebiedsontwikkelingen. Werken met de Circulaire Peiler moet bijdragen aan inzicht in effectieve circulaire maatregelen,</t>
  </si>
  <si>
    <t xml:space="preserve">door minimalisatie van materiaalgebruik en een laag primair materiaalgebruik. Inzet van dit instrument faciliteert processen bij het maken van duurzame keuzes. </t>
  </si>
  <si>
    <t>Een "vinger aan de pols" om de voortgang van de beoogde circulaire ontwikkeling te peilen zal bijdragen aan realisatie van de circulaire doelstellingen.</t>
  </si>
  <si>
    <t xml:space="preserve">De Circulaire Peiler als afwegingskader voor circulariteit kan die vinger aan de pols zijn, door te fungeren als peilstok voor circulariteit in projecten. </t>
  </si>
  <si>
    <t>Hoe moet je de Circulaire Peiler zien in relatie tot andere duurzaamheidsinstrumenten?</t>
  </si>
  <si>
    <t>Bij de ontwikkeling van de Circulaire Peiler is geprobeerd zoveel mogelijk aansluiting te zoeken bij bestaande instrumenten voor duurzaamheid/ circulariteit, zoals</t>
  </si>
  <si>
    <t>de Circulaire Ontwerpprincipes van het MIRT, het meetbaar maken van duurzaamheid en circulariteit via de milieukostenindicator MKI (DuboCalc) en de</t>
  </si>
  <si>
    <t>en de Circulariteitsindex van CB'23 (bepalingsmethode: Leidraad Meten van circulariteit*). Veel aspecten uit de Circulaire Peiler zijn daarom niet nieuw.</t>
  </si>
  <si>
    <t xml:space="preserve">De Circulaire Ontwerpprincipeszoals geformuleerd voor MIRT-projecten, vormen de basis van het afwegingskader. </t>
  </si>
  <si>
    <t>Wat is het verschil tussen de Procesmonitor en de Referentiemonitor van de circulaire peiler?</t>
  </si>
  <si>
    <r>
      <t xml:space="preserve">Twee maatstaven voor de Circulaire Peiler. </t>
    </r>
    <r>
      <rPr>
        <sz val="11"/>
        <color rgb="FF0070C0"/>
        <rFont val="Calibri"/>
        <family val="2"/>
        <scheme val="minor"/>
      </rPr>
      <t xml:space="preserve"> </t>
    </r>
  </si>
  <si>
    <t>De Circulaire Peiler bestaat uit twee hoofdelementen waarmee binnen projecten kan worden gestuurd op circulariteit:</t>
  </si>
  <si>
    <r>
      <t>1.</t>
    </r>
    <r>
      <rPr>
        <i/>
        <u/>
        <sz val="11"/>
        <color rgb="FF0070C0"/>
        <rFont val="Calibri"/>
        <family val="2"/>
        <scheme val="minor"/>
      </rPr>
      <t xml:space="preserve">Procesmonitor: </t>
    </r>
    <r>
      <rPr>
        <sz val="11"/>
        <color rgb="FF0070C0"/>
        <rFont val="Calibri"/>
        <family val="2"/>
        <scheme val="minor"/>
      </rPr>
      <t xml:space="preserve">deze fungeert als peilstok voor het proces en geeft een </t>
    </r>
    <r>
      <rPr>
        <b/>
        <sz val="11"/>
        <color rgb="FF0070C0"/>
        <rFont val="Calibri"/>
        <family val="2"/>
        <scheme val="minor"/>
      </rPr>
      <t>kwalitatieve</t>
    </r>
    <r>
      <rPr>
        <sz val="11"/>
        <color rgb="FF0070C0"/>
        <rFont val="Calibri"/>
        <family val="2"/>
        <scheme val="minor"/>
      </rPr>
      <t xml:space="preserve"> beoordeling van de circulariteit in een ontwikkelingsfase</t>
    </r>
  </si>
  <si>
    <t>in een ééngetalswaarde, de CPI (Circulaire Peil Index)</t>
  </si>
  <si>
    <r>
      <t>2.</t>
    </r>
    <r>
      <rPr>
        <i/>
        <u/>
        <sz val="11"/>
        <color rgb="FF0070C0"/>
        <rFont val="Calibri"/>
        <family val="2"/>
        <scheme val="minor"/>
      </rPr>
      <t xml:space="preserve">Referentiemonitor: </t>
    </r>
    <r>
      <rPr>
        <sz val="11"/>
        <color rgb="FF0070C0"/>
        <rFont val="Calibri"/>
        <family val="2"/>
        <scheme val="minor"/>
      </rPr>
      <t>deze laat zien wat het</t>
    </r>
    <r>
      <rPr>
        <b/>
        <sz val="11"/>
        <color rgb="FF0070C0"/>
        <rFont val="Calibri"/>
        <family val="2"/>
        <scheme val="minor"/>
      </rPr>
      <t xml:space="preserve"> kwantitatieve </t>
    </r>
    <r>
      <rPr>
        <sz val="11"/>
        <color rgb="FF0070C0"/>
        <rFont val="Calibri"/>
        <family val="2"/>
        <scheme val="minor"/>
      </rPr>
      <t xml:space="preserve">effect is van de voorgestane maatregelen ten aanzien van milieukosten, circulariteit en CO2 uitstoot. </t>
    </r>
  </si>
  <si>
    <t>De procentuele reductie ten opzichte van een referentie-ontwikkeling is daarbij de kwantitatieve maat.</t>
  </si>
  <si>
    <t>Hoe werkt de procesmonitor in de Circulaire Peiler?</t>
  </si>
  <si>
    <r>
      <t xml:space="preserve">Procesmonitor: </t>
    </r>
    <r>
      <rPr>
        <sz val="11"/>
        <color rgb="FF0070C0"/>
        <rFont val="Calibri"/>
        <family val="2"/>
        <scheme val="minor"/>
      </rPr>
      <t xml:space="preserve">deze fungeert als peilstok voor het proces en geeft een </t>
    </r>
    <r>
      <rPr>
        <b/>
        <sz val="11"/>
        <color rgb="FF0070C0"/>
        <rFont val="Calibri"/>
        <family val="2"/>
        <scheme val="minor"/>
      </rPr>
      <t>kwalitatieve</t>
    </r>
    <r>
      <rPr>
        <sz val="11"/>
        <color rgb="FF0070C0"/>
        <rFont val="Calibri"/>
        <family val="2"/>
        <scheme val="minor"/>
      </rPr>
      <t xml:space="preserve"> beoordeling van de circulariteit in een ontwikkelingsfase in een ééngetalswaarde</t>
    </r>
  </si>
  <si>
    <t>de CPI (Circulaire Peil Index). Het principe achter de procesmonitor is gebaseerd op multi criteria analyse. De CPI is te beschouwen als een procesmonitor</t>
  </si>
  <si>
    <t>een procesmonitor voor circulariteit. Hoe hoger de CPI score hoe meer er mogelijk is om circulair te kunnen handelen. Dus, hoe hoger CPI, hoe beter het perspectief.</t>
  </si>
  <si>
    <r>
      <t xml:space="preserve">Voor de procesmonitor vormen </t>
    </r>
    <r>
      <rPr>
        <b/>
        <sz val="11"/>
        <color rgb="FF0070C0"/>
        <rFont val="Calibri"/>
        <family val="2"/>
        <scheme val="minor"/>
      </rPr>
      <t xml:space="preserve">de acht circulaire ontwerpprincipes </t>
    </r>
    <r>
      <rPr>
        <sz val="11"/>
        <color rgb="FF0070C0"/>
        <rFont val="Calibri"/>
        <family val="2"/>
        <scheme val="minor"/>
      </rPr>
      <t xml:space="preserve">uit het MIRT de basis (1 t/m 8). Elk ontwerpprincipes krijgt een eigen kleurcode mee. </t>
    </r>
  </si>
  <si>
    <t xml:space="preserve">De grafische monitor Circulaire Peiler is opgebouwd uit deze kleuren. De 8 circulaire ontwerpprincipes dienen als basis voor de procesmonitor Circulaire Peiler. </t>
  </si>
  <si>
    <t xml:space="preserve">Deze ontwerpprincipes zijn ingedeeld op basis van preventie, waardebehoud en waardecreatie. </t>
  </si>
  <si>
    <r>
      <t xml:space="preserve">De acht circulaire ontwerpprincipes uit het MIRT zijn vertaald in </t>
    </r>
    <r>
      <rPr>
        <b/>
        <sz val="11"/>
        <color rgb="FF0070C0"/>
        <rFont val="Calibri"/>
        <family val="2"/>
        <scheme val="minor"/>
      </rPr>
      <t>doelstellingen</t>
    </r>
    <r>
      <rPr>
        <sz val="11"/>
        <color rgb="FF0070C0"/>
        <rFont val="Calibri"/>
        <family val="2"/>
        <scheme val="minor"/>
      </rPr>
      <t>. Per ontwerpprincipe zijn er 1, 2 of 3 doelstellingen geformuleerd (</t>
    </r>
    <r>
      <rPr>
        <b/>
        <sz val="11"/>
        <color rgb="FF0070C0"/>
        <rFont val="Calibri"/>
        <family val="2"/>
        <scheme val="minor"/>
      </rPr>
      <t>a, b, c</t>
    </r>
    <r>
      <rPr>
        <sz val="11"/>
        <color rgb="FF0070C0"/>
        <rFont val="Calibri"/>
        <family val="2"/>
        <scheme val="minor"/>
      </rPr>
      <t xml:space="preserve">). </t>
    </r>
  </si>
  <si>
    <t>De grafische monitor Circulaire Peiler laat het onderscheid tussen a, b en c zien als kleurintensiteit binnen een ontwerpprincipe.</t>
  </si>
  <si>
    <r>
      <t xml:space="preserve">De doelstellingen zijn vertaald in generiek geformuleerde </t>
    </r>
    <r>
      <rPr>
        <b/>
        <sz val="11"/>
        <color rgb="FF0070C0"/>
        <rFont val="Calibri"/>
        <family val="2"/>
        <scheme val="minor"/>
      </rPr>
      <t>(proces)prestaties</t>
    </r>
    <r>
      <rPr>
        <sz val="11"/>
        <color rgb="FF0070C0"/>
        <rFont val="Calibri"/>
        <family val="2"/>
        <scheme val="minor"/>
      </rPr>
      <t>. Per doelstelling zijn er vijf prestatieniveaus. Gerealiseerde prestaties krijgen punten</t>
    </r>
  </si>
  <si>
    <t>volgens het principe hoe hoger de prestaties, hoe meer punten. De puntenverdeling per prestatie ligt vast en bedraagt 0-25-50-75-100 punten.</t>
  </si>
  <si>
    <t>Elke fase in het ontwikkelingsproces kent specifieke aspecten die meer relevant zijn vanwege de impact op circulariteit. Die doelstellingen krijgen in die fase</t>
  </si>
  <si>
    <r>
      <t xml:space="preserve">een zwaardere, faseafhankelijke </t>
    </r>
    <r>
      <rPr>
        <b/>
        <sz val="11"/>
        <color rgb="FF0070C0"/>
        <rFont val="Calibri"/>
        <family val="2"/>
        <scheme val="minor"/>
      </rPr>
      <t>weegfactor</t>
    </r>
    <r>
      <rPr>
        <sz val="11"/>
        <color rgb="FF0070C0"/>
        <rFont val="Calibri"/>
        <family val="2"/>
        <scheme val="minor"/>
      </rPr>
      <t>. Dit geeft gewogen puntenscores per doelstelling. De som van alle weegfactoren is 100%.</t>
    </r>
  </si>
  <si>
    <t>Sommatie van alle punten x weegfactoren over alle prestaties levert de eindscore Circulaire Peil Index (de CPI score) met 100 als maximum*.</t>
  </si>
  <si>
    <t>Hoe werkt de referentiemonitor in de Circulaire Peiler?</t>
  </si>
  <si>
    <t>Kwantitatieve beoordeling milieueffect: relatieve reductie ten opzichte van een referentie</t>
  </si>
  <si>
    <t>Beoordeling MKI, MCI en CO2: project en referentie</t>
  </si>
  <si>
    <t>De Circulaire Peiler beoordeelt de milieukosten (MKI), circulariteit (MCI) en de CO2 uitstoot op basis van een "relatieve prestatie" van een project.</t>
  </si>
  <si>
    <t xml:space="preserve">De gerealiseerde prestatie van het project wordt vergeleken met een referentie. </t>
  </si>
  <si>
    <t>De milieukostenindicator (MKI) wordt berekend op basis materiaalhoeveelheden en de milieubelasting volgens LCA gegevens betrokken</t>
  </si>
  <si>
    <t>uit de Nationale Milieu Database (NMD). MKI is te berekenen met bijv. DuboCalc.</t>
  </si>
  <si>
    <t xml:space="preserve">In de Circulaire Peiler wordt een MKI reductie, een MCI reductie en een CO2 procentuele reductie van een project ten opzichte van een referentie berekend. </t>
  </si>
  <si>
    <t xml:space="preserve">De circulariteitsindex voor materialen (MCI) wordt berekend op basis van bijlage G van de kernmeetmethode voor circulariteit van CB'23. </t>
  </si>
  <si>
    <t xml:space="preserve">De CO2 uitstoot volgt voor materialen uit de MKI berekening aangevuld met het energiegebruik in de beheerfase minus de opbrengst van duurzame energiebronnen. </t>
  </si>
  <si>
    <t>Hoe is de peiler in te zetten in ontwikkelprocessen?</t>
  </si>
  <si>
    <t xml:space="preserve">De Circulaire Peiler is op verschillende manieren in te zetten om te komen tot circulaire doelen in een project. </t>
  </si>
  <si>
    <r>
      <t>1.</t>
    </r>
    <r>
      <rPr>
        <b/>
        <sz val="10"/>
        <color rgb="FF0070C0"/>
        <rFont val="Calibri"/>
        <family val="2"/>
        <scheme val="minor"/>
      </rPr>
      <t>Ambitie stellend</t>
    </r>
  </si>
  <si>
    <t xml:space="preserve">Het is bij het definiëren van projecten vaak moeilijk om concrete circulaire doelstellingen mee te geven. De Circulaire Peiler concretiseert circulariteit op zo’n wijze </t>
  </si>
  <si>
    <t xml:space="preserve">dat het helder wordt wat er binnen het project behaald moet worden. </t>
  </si>
  <si>
    <t>Dit kan in principe al vanaf de eerste vorming van het project, nog in de voorverkenningsfase. Tevens bij iedere nieuwe fase geeft de Circulaire Peiler heldere kaders</t>
  </si>
  <si>
    <r>
      <t>om de ambities concreet neer te zetten</t>
    </r>
    <r>
      <rPr>
        <b/>
        <sz val="10"/>
        <color rgb="FF0070C0"/>
        <rFont val="Calibri"/>
        <family val="2"/>
        <scheme val="minor"/>
      </rPr>
      <t xml:space="preserve">.  </t>
    </r>
  </si>
  <si>
    <t>2. Monitoren /Peilstok (Thermometer)</t>
  </si>
  <si>
    <t>Wanneer een ambitie gesteld is met de Circulaire Peiler is het belangrijk om gedurende de uitwerking van een project te monitoren of, en hoe</t>
  </si>
  <si>
    <t xml:space="preserve">de ambities behaald worden. U kunt de peiler dan meerdere malen gedurende het project invullen en gebruiken om bij te sturen om te doelstellingen te halen. </t>
  </si>
  <si>
    <t xml:space="preserve">Dit geeft een helder proces van ambitie naar concrete invulling. </t>
  </si>
  <si>
    <t>De Circulaire Peiler kan op ieder moment in het project ingevuld worden om zo te kijken waar je staat met circulariteit, ook wanneer</t>
  </si>
  <si>
    <t xml:space="preserve">er geen ambitie gesteld is met de peiler. Het invullen van de peiler activeert het projectteam om kritisch te kijken wat er nu al wel of niet gedaan is aan circulariteit. </t>
  </si>
  <si>
    <t xml:space="preserve">Het geeft handvatten en inzichten voor de verdere uitwerking van de opgaven. </t>
  </si>
  <si>
    <t>3. Vergelijken van alternatieven</t>
  </si>
  <si>
    <t>Om te komen tot een optimaal ontwerp is het belangrijk verschillende varianten op te stellen. Om deze varianten te vergelijken, beoordeel je deze op verschillende onderwerpen/thema’s,</t>
  </si>
  <si>
    <t>waaronder circulariteit. De Circulaire Peiler is een goed instrument om het onderdeel circulariteit te beoordelen. Zo wordt helder wat er goed is in een alternatief en wat er beter kan,</t>
  </si>
  <si>
    <t xml:space="preserve">of geoptimaliseerd worden. De Circulaire Peiler zorgt zo voor een concrete afweging op circulariteit in de keuze van een alternatief. </t>
  </si>
  <si>
    <t>Hoe kom je aan goede referentiewaarden?</t>
  </si>
  <si>
    <t xml:space="preserve">De referentie dient in overleg met de opdrachtgever te worden vastgesteld; er is geen standaard. Van die (traditionele) referentie-situatie wordt de MKI, MCI en de CO2 uitstoot bepaald. </t>
  </si>
  <si>
    <t xml:space="preserve">Voor dijken kan een gematerialiseerde KOSWAT-berekening als referentie worden aangehouden. </t>
  </si>
  <si>
    <t>Een referentie wordt opgesteld om meer gevoel te krijgen van de waarde van de uitkomst van de ontwikkeling.</t>
  </si>
  <si>
    <t>Toelichting input referentiemonitor</t>
  </si>
  <si>
    <t>Berekening Referentiemonitor (reductie)</t>
  </si>
  <si>
    <t>MKI – benodigde invoer (groene kolom)</t>
  </si>
  <si>
    <t>MKI project (DuboCalc), bijv. 1979571</t>
  </si>
  <si>
    <t>MKI referentie (DuboCalc), bijv. 3.039.511 euro</t>
  </si>
  <si>
    <t>Reductie Referentiemonitor = 1 – (1979571/3039511) = 0,35=35%</t>
  </si>
  <si>
    <t>MCI (CB’23) – benodigde invoer (blauwe kolom)</t>
  </si>
  <si>
    <t xml:space="preserve">MCI project (CB’23) (de uitkomst is een percentage!), bijv. 80% </t>
  </si>
  <si>
    <t>MCI referentie (CB’23) (de uitkomt is een percentage!), bijv. 75%</t>
  </si>
  <si>
    <t>Reductie Referentiemonitor = 80% - 75% = 5%</t>
  </si>
  <si>
    <t>CO2 – benodigde invoer (rode kolom)</t>
  </si>
  <si>
    <t xml:space="preserve">CO2 uitstoot project (DuboCalc + energiegebruik – opbrengst duurzame energiebronnen), </t>
  </si>
  <si>
    <t>bijv. 18.000 ton CO2</t>
  </si>
  <si>
    <t xml:space="preserve">CO2 uitstoot referentie (DuboCalc + energiegebruik (0) – opbrengst duurzame energiebronnen (0)), </t>
  </si>
  <si>
    <t>bijv. 32.000 ton CO2</t>
  </si>
  <si>
    <t>Reductie Referentiemonitor = 1 – (18000/32000) = 0,44 = 44%</t>
  </si>
  <si>
    <t>10-R model van Cramer</t>
  </si>
  <si>
    <t>Het 10-R model van Cramer geeft een prioriteitsvolgorde aan voor circulaire maatregelen.</t>
  </si>
  <si>
    <t>De prioriteitsvolgorde inclusief een korte toelichting van de begrippen:</t>
  </si>
  <si>
    <r>
      <t xml:space="preserve">1. </t>
    </r>
    <r>
      <rPr>
        <b/>
        <sz val="10"/>
        <color rgb="FF0070C0"/>
        <rFont val="Calibri"/>
        <family val="2"/>
      </rPr>
      <t>Rethink/Heroverwegen</t>
    </r>
    <r>
      <rPr>
        <sz val="10"/>
        <color rgb="FF0070C0"/>
        <rFont val="Calibri"/>
        <family val="2"/>
      </rPr>
      <t xml:space="preserve">. Is de ontwikkeling wel nodig? Is door anders te kijken naar het probleem een oplossing met efficiënter materiaalgebruik mogelijk? </t>
    </r>
  </si>
  <si>
    <t>Het gaat om anders denken en een andere manier van organiseren.</t>
  </si>
  <si>
    <r>
      <t xml:space="preserve">2. </t>
    </r>
    <r>
      <rPr>
        <b/>
        <sz val="10"/>
        <color rgb="FF0070C0"/>
        <rFont val="Calibri"/>
        <family val="2"/>
      </rPr>
      <t>Redesign/Herontwerpen</t>
    </r>
    <r>
      <rPr>
        <sz val="10"/>
        <color rgb="FF0070C0"/>
        <rFont val="Calibri"/>
        <family val="2"/>
      </rPr>
      <t xml:space="preserve">. Het gaat hierbij om het anders of nieuw ontwerpen of het zodanig aanpassen van het ontwerp dat het product een langere levensduur heeft, </t>
    </r>
  </si>
  <si>
    <t>een betere modulaire opbouw of bestaat uit duurzame materialen.</t>
  </si>
  <si>
    <r>
      <t xml:space="preserve">3. </t>
    </r>
    <r>
      <rPr>
        <b/>
        <sz val="10"/>
        <color rgb="FF0070C0"/>
        <rFont val="Calibri"/>
        <family val="2"/>
      </rPr>
      <t>Reduce/Verminderen</t>
    </r>
    <r>
      <rPr>
        <sz val="10"/>
        <color rgb="FF0070C0"/>
        <rFont val="Calibri"/>
        <family val="2"/>
      </rPr>
      <t>. Het gaat er hierbij om het verbruik van grondstoffen tijdens de productie te reduceren.</t>
    </r>
  </si>
  <si>
    <r>
      <t xml:space="preserve">4. </t>
    </r>
    <r>
      <rPr>
        <b/>
        <sz val="10"/>
        <color rgb="FF0070C0"/>
        <rFont val="Calibri"/>
        <family val="2"/>
      </rPr>
      <t>Reuse/Hergebruik</t>
    </r>
    <r>
      <rPr>
        <sz val="10"/>
        <color rgb="FF0070C0"/>
        <rFont val="Calibri"/>
        <family val="2"/>
      </rPr>
      <t>. Het gaat hierbij om het volwaardig hergebruik van producten in zijn geheel in dezelfde functie door een andere gebruiker.</t>
    </r>
  </si>
  <si>
    <r>
      <t xml:space="preserve">5. </t>
    </r>
    <r>
      <rPr>
        <b/>
        <sz val="10"/>
        <color rgb="FF0070C0"/>
        <rFont val="Calibri"/>
        <family val="2"/>
      </rPr>
      <t>Repair/Repareren</t>
    </r>
    <r>
      <rPr>
        <sz val="10"/>
        <color rgb="FF0070C0"/>
        <rFont val="Calibri"/>
        <family val="2"/>
      </rPr>
      <t>. Vanuit duurzaamheidsoogpunt is het beter om goed onderhoud en reparatie uit te voeren dan materialen af te danken en nieuwe materialen te gebruiken.</t>
    </r>
  </si>
  <si>
    <r>
      <t xml:space="preserve">6. </t>
    </r>
    <r>
      <rPr>
        <b/>
        <sz val="10"/>
        <color rgb="FF0070C0"/>
        <rFont val="Calibri"/>
        <family val="2"/>
      </rPr>
      <t>Refurbish/Renoveren</t>
    </r>
    <r>
      <rPr>
        <sz val="10"/>
        <color rgb="FF0070C0"/>
        <rFont val="Calibri"/>
        <family val="2"/>
      </rPr>
      <t xml:space="preserve"> of opknappen. Het gaat er hierbij om producten of bouwdelen te herstellen of te vernieuwen door ze op te knappen. Niet alles hoeft nieuw te zijn.</t>
    </r>
  </si>
  <si>
    <r>
      <t xml:space="preserve">7. </t>
    </r>
    <r>
      <rPr>
        <b/>
        <sz val="10"/>
        <color rgb="FF0070C0"/>
        <rFont val="Calibri"/>
        <family val="2"/>
      </rPr>
      <t>Remanufacture/Reviseren</t>
    </r>
    <r>
      <rPr>
        <sz val="10"/>
        <color rgb="FF0070C0"/>
        <rFont val="Calibri"/>
        <family val="2"/>
      </rPr>
      <t>. Het gaat er hierbij om nieuwe producten te maken van oude producten of onderdelen hiervan.</t>
    </r>
  </si>
  <si>
    <r>
      <t xml:space="preserve">8. </t>
    </r>
    <r>
      <rPr>
        <b/>
        <sz val="10"/>
        <color rgb="FF0070C0"/>
        <rFont val="Calibri"/>
        <family val="2"/>
      </rPr>
      <t>Repurpose/Hergebruiken</t>
    </r>
    <r>
      <rPr>
        <sz val="10"/>
        <color rgb="FF0070C0"/>
        <rFont val="Calibri"/>
        <family val="2"/>
      </rPr>
      <t xml:space="preserve"> van producten met een ander doel.</t>
    </r>
  </si>
  <si>
    <r>
      <t xml:space="preserve">9. </t>
    </r>
    <r>
      <rPr>
        <b/>
        <sz val="10"/>
        <color rgb="FF0070C0"/>
        <rFont val="Calibri"/>
        <family val="2"/>
      </rPr>
      <t>Recycle/Verwerking</t>
    </r>
    <r>
      <rPr>
        <sz val="10"/>
        <color rgb="FF0070C0"/>
        <rFont val="Calibri"/>
        <family val="2"/>
      </rPr>
      <t xml:space="preserve"> en hergebruik van materialen.</t>
    </r>
  </si>
  <si>
    <r>
      <t xml:space="preserve">10. </t>
    </r>
    <r>
      <rPr>
        <b/>
        <sz val="10"/>
        <color rgb="FF0070C0"/>
        <rFont val="Calibri"/>
        <family val="2"/>
      </rPr>
      <t>Recover/Herwinnen</t>
    </r>
    <r>
      <rPr>
        <sz val="10"/>
        <color rgb="FF0070C0"/>
        <rFont val="Calibri"/>
        <family val="2"/>
      </rPr>
      <t>. Hierbij gaat het om energieterugwinning uit materialen. Verbranding zonder energieterugwinning en storten horen niet in een circulaire economie.</t>
    </r>
  </si>
  <si>
    <t>3.2 Tips en aandachtspunten</t>
  </si>
  <si>
    <t>Te beoordelen fase invullen(lees je snel overheen)</t>
  </si>
  <si>
    <t>De wegingsfactoren die worden gebruikt in de procesmonitor verschillen per fase. Vergeet daarom niet de juiste fase te selecteren bij invoer Basis</t>
  </si>
  <si>
    <t>Grijze cellen zijn invoercellen</t>
  </si>
  <si>
    <t>In het TABblad &lt;invoer Basis&gt;  zijn alleen de grijze cellen invoercellen</t>
  </si>
  <si>
    <t>Alleen rechts van zwarte verticale lijn hoeven gegevens ingevuld te worden in tabblad &lt;invoer Basis&gt;</t>
  </si>
  <si>
    <t>Als op een cel geen invoer mogelijk is</t>
  </si>
  <si>
    <t>Als op een cel geen invoer mogelijk is, terwijl dat wel wenselijk is, gebruik dan de pijltjestoetsen.</t>
  </si>
  <si>
    <t>3.3 Help</t>
  </si>
  <si>
    <t>BIJLAGEN</t>
  </si>
  <si>
    <t>Bijlage 1: Voorbeeldschermen</t>
  </si>
  <si>
    <t>Bijlage 2: De acht circulaire ontwerpprinces</t>
  </si>
  <si>
    <t>Bijlage 3: 10-R model Prioriteitsvolgorde Circulariteit</t>
  </si>
  <si>
    <t>BIJLAGE 1: VOORBEELDSCHERMEN</t>
  </si>
  <si>
    <t>Voor vier alternatieven (A1 t/m D1) kunnen invoerbladen gelijk aan &lt;invoer Basis&gt; worden ingevuld. Daarna verschijnt in tabblad &lt;info vergelijk&gt; het berekende resultaat (grafieken).</t>
  </si>
  <si>
    <t>TABBLAD &lt;info weging&gt;. Hier staan alle weegfactoren voor de CPI berekening.</t>
  </si>
  <si>
    <t>BIJLAGE 2:</t>
  </si>
  <si>
    <t>De relatie tussen de acht circulaire ontwerpprincipes en de Circulaire Peiler</t>
  </si>
  <si>
    <t>BIJLAGE 3: 10-R model Prioriteitsvolgorde Circulariteit</t>
  </si>
  <si>
    <r>
      <t xml:space="preserve">1. </t>
    </r>
    <r>
      <rPr>
        <b/>
        <i/>
        <sz val="10"/>
        <color rgb="FF0070C0"/>
        <rFont val="Arial"/>
        <family val="2"/>
      </rPr>
      <t>Rethink/Heroverwegen</t>
    </r>
    <r>
      <rPr>
        <sz val="10"/>
        <color rgb="FF0070C0"/>
        <rFont val="Arial"/>
        <family val="2"/>
      </rPr>
      <t>. Is de ontwikkeling wel nodig? Is door anders te kijken naar het probleem een oplossing met efficienter materiaalgebruik mogelijk? Het gaat om anders denken en een andere manier van organiseren.</t>
    </r>
  </si>
  <si>
    <r>
      <t xml:space="preserve">2. </t>
    </r>
    <r>
      <rPr>
        <b/>
        <i/>
        <sz val="10"/>
        <color rgb="FF0070C0"/>
        <rFont val="Arial"/>
        <family val="2"/>
      </rPr>
      <t>Redesign/Herontwerpen</t>
    </r>
    <r>
      <rPr>
        <sz val="10"/>
        <color rgb="FF0070C0"/>
        <rFont val="Arial"/>
        <family val="2"/>
      </rPr>
      <t>. Het gaat hierbij om het anders of nieuw ontwerpen of het zodanig aanpassen van het ontwerp dat het product een langere levensduur heeft, een betere modulaire opbouw of bestaat uit duurzame materialen.</t>
    </r>
  </si>
  <si>
    <r>
      <t xml:space="preserve">3. </t>
    </r>
    <r>
      <rPr>
        <b/>
        <i/>
        <sz val="10"/>
        <color rgb="FF0070C0"/>
        <rFont val="Arial"/>
        <family val="2"/>
      </rPr>
      <t>Reduce/Verminderen</t>
    </r>
    <r>
      <rPr>
        <sz val="10"/>
        <color rgb="FF0070C0"/>
        <rFont val="Arial"/>
        <family val="2"/>
      </rPr>
      <t>. Het gaat er hierbij om het verbruik van grondstoffen tijdens de productie te reduceren.</t>
    </r>
  </si>
  <si>
    <r>
      <t xml:space="preserve">4. </t>
    </r>
    <r>
      <rPr>
        <b/>
        <i/>
        <sz val="10"/>
        <color rgb="FF0070C0"/>
        <rFont val="Arial"/>
        <family val="2"/>
      </rPr>
      <t>Reuse/Hergebruik</t>
    </r>
    <r>
      <rPr>
        <sz val="10"/>
        <color rgb="FF0070C0"/>
        <rFont val="Arial"/>
        <family val="2"/>
      </rPr>
      <t>. Het gaat hierbij om het volwaardig hergebruik van producten in zijn geheel in dezelfde functie door een andere gebruiker.</t>
    </r>
  </si>
  <si>
    <r>
      <t xml:space="preserve">5. </t>
    </r>
    <r>
      <rPr>
        <b/>
        <i/>
        <sz val="10"/>
        <color rgb="FF0070C0"/>
        <rFont val="Arial"/>
        <family val="2"/>
      </rPr>
      <t>Repair/Repareren</t>
    </r>
    <r>
      <rPr>
        <sz val="10"/>
        <color rgb="FF0070C0"/>
        <rFont val="Arial"/>
        <family val="2"/>
      </rPr>
      <t>. Vanuit duurzaamheidsoogpunt is het beter om goed onderhoud en reparatie uit te voeren dan materialen af te danken en nieuwe materialen te gebruiken.</t>
    </r>
  </si>
  <si>
    <r>
      <t xml:space="preserve">6. </t>
    </r>
    <r>
      <rPr>
        <b/>
        <i/>
        <sz val="10"/>
        <color rgb="FF0070C0"/>
        <rFont val="Arial"/>
        <family val="2"/>
      </rPr>
      <t>Refurbish/Renoveren</t>
    </r>
    <r>
      <rPr>
        <sz val="10"/>
        <color rgb="FF0070C0"/>
        <rFont val="Arial"/>
        <family val="2"/>
      </rPr>
      <t xml:space="preserve"> of opknappen. Het gaat er hierbij om producten of bouwdelen te herstellen of te vernieuwen door ze op te knappen. Niet alles hoeft nieuw te zijn.</t>
    </r>
  </si>
  <si>
    <r>
      <t xml:space="preserve">7. </t>
    </r>
    <r>
      <rPr>
        <b/>
        <i/>
        <sz val="10"/>
        <color rgb="FF0070C0"/>
        <rFont val="Arial"/>
        <family val="2"/>
      </rPr>
      <t>Remanufacture/Reviseren</t>
    </r>
    <r>
      <rPr>
        <sz val="10"/>
        <color rgb="FF0070C0"/>
        <rFont val="Arial"/>
        <family val="2"/>
      </rPr>
      <t>. Het gaat er hierbij om nieuwe producten te maken van oude producten of onderdelen hiervan.</t>
    </r>
  </si>
  <si>
    <r>
      <t xml:space="preserve">8. </t>
    </r>
    <r>
      <rPr>
        <b/>
        <i/>
        <sz val="10"/>
        <color rgb="FF0070C0"/>
        <rFont val="Arial"/>
        <family val="2"/>
      </rPr>
      <t>Repurpose/Hergebruiken</t>
    </r>
    <r>
      <rPr>
        <sz val="10"/>
        <color rgb="FF0070C0"/>
        <rFont val="Arial"/>
        <family val="2"/>
      </rPr>
      <t xml:space="preserve"> van producten met een ander doel.</t>
    </r>
  </si>
  <si>
    <r>
      <t xml:space="preserve">9. </t>
    </r>
    <r>
      <rPr>
        <b/>
        <i/>
        <sz val="10"/>
        <color rgb="FF0070C0"/>
        <rFont val="Arial"/>
        <family val="2"/>
      </rPr>
      <t>Recycle/Verwerking</t>
    </r>
    <r>
      <rPr>
        <sz val="10"/>
        <color rgb="FF0070C0"/>
        <rFont val="Arial"/>
        <family val="2"/>
      </rPr>
      <t xml:space="preserve"> en hergebruik van materialen.</t>
    </r>
  </si>
  <si>
    <r>
      <t xml:space="preserve">10. </t>
    </r>
    <r>
      <rPr>
        <b/>
        <i/>
        <sz val="10"/>
        <color rgb="FF0070C0"/>
        <rFont val="Arial"/>
        <family val="2"/>
      </rPr>
      <t>Recover/Herwinnen</t>
    </r>
    <r>
      <rPr>
        <sz val="10"/>
        <color rgb="FF0070C0"/>
        <rFont val="Arial"/>
        <family val="2"/>
      </rPr>
      <t>. Hierbij gaat het om energieterugwinning uit materialen. Verbranding zonder energieterugwinning en storten horen niet in een circulaire economie.</t>
    </r>
  </si>
  <si>
    <t>◄◄Snelle start</t>
  </si>
  <si>
    <t>►Bijlage 1: Voorbeeldschermen</t>
  </si>
  <si>
    <t>►Bijlage 2: De acht circulaire ontwerpprinces</t>
  </si>
  <si>
    <t>►Bijlage 3: 10-R model Prioriteitsvolgorde Circulariteit</t>
  </si>
  <si>
    <t>►BIJLAGEN</t>
  </si>
  <si>
    <t>V2.0/b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</si>
</sst>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36" x14ac:knownFonts="1">
    <font>
      <sz val="11"/>
      <color theme="1"/>
      <name val="Calibri"/>
      <family val="2"/>
      <scheme val="minor"/>
    </font>
    <font>
      <b/>
      <sz val="11"/>
      <color theme="1"/>
      <name val="Calibri"/>
      <family val="2"/>
      <scheme val="minor"/>
    </font>
    <font>
      <sz val="11"/>
      <color theme="0"/>
      <name val="Calibri"/>
      <family val="2"/>
      <scheme val="minor"/>
    </font>
    <font>
      <sz val="11"/>
      <color rgb="FF00B0F0"/>
      <name val="Calibri"/>
      <family val="2"/>
      <scheme val="minor"/>
    </font>
    <font>
      <b/>
      <sz val="11"/>
      <color rgb="FFFF0000"/>
      <name val="Calibri"/>
      <family val="2"/>
      <scheme val="minor"/>
    </font>
    <font>
      <sz val="8"/>
      <color theme="5" tint="0.39997558519241921"/>
      <name val="Calibri"/>
      <family val="2"/>
      <scheme val="minor"/>
    </font>
    <font>
      <sz val="11"/>
      <color rgb="FF0070C0"/>
      <name val="Calibri"/>
      <family val="2"/>
      <scheme val="minor"/>
    </font>
    <font>
      <b/>
      <sz val="11"/>
      <color rgb="FF0070C0"/>
      <name val="Calibri"/>
      <family val="2"/>
      <scheme val="minor"/>
    </font>
    <font>
      <b/>
      <sz val="11"/>
      <color rgb="FFFFFF00"/>
      <name val="Calibri"/>
      <family val="2"/>
      <scheme val="minor"/>
    </font>
    <font>
      <sz val="11"/>
      <color rgb="FFFFFF00"/>
      <name val="Calibri"/>
      <family val="2"/>
      <scheme val="minor"/>
    </font>
    <font>
      <b/>
      <sz val="8"/>
      <color theme="5" tint="0.39997558519241921"/>
      <name val="Calibri"/>
      <family val="2"/>
      <scheme val="minor"/>
    </font>
    <font>
      <b/>
      <sz val="9"/>
      <color rgb="FFFFFF00"/>
      <name val="Calibri"/>
      <family val="2"/>
      <scheme val="minor"/>
    </font>
    <font>
      <sz val="11"/>
      <color theme="7" tint="-0.249977111117893"/>
      <name val="Calibri"/>
      <family val="2"/>
      <scheme val="minor"/>
    </font>
    <font>
      <i/>
      <sz val="11"/>
      <color theme="1"/>
      <name val="Calibri"/>
      <family val="2"/>
      <scheme val="minor"/>
    </font>
    <font>
      <sz val="10"/>
      <color theme="7" tint="-0.249977111117893"/>
      <name val="Calibri"/>
      <family val="2"/>
      <scheme val="minor"/>
    </font>
    <font>
      <sz val="9"/>
      <color theme="0"/>
      <name val="Calibri"/>
      <family val="2"/>
      <scheme val="minor"/>
    </font>
    <font>
      <b/>
      <sz val="8"/>
      <color theme="0"/>
      <name val="Calibri"/>
      <family val="2"/>
      <scheme val="minor"/>
    </font>
    <font>
      <sz val="8"/>
      <color theme="0"/>
      <name val="Calibri"/>
      <family val="2"/>
      <scheme val="minor"/>
    </font>
    <font>
      <b/>
      <sz val="10"/>
      <color rgb="FFFFC000"/>
      <name val="Calibri"/>
      <family val="2"/>
      <scheme val="minor"/>
    </font>
    <font>
      <b/>
      <sz val="10"/>
      <color theme="7" tint="-0.249977111117893"/>
      <name val="Calibri"/>
      <family val="2"/>
      <scheme val="minor"/>
    </font>
    <font>
      <sz val="8"/>
      <color rgb="FFFFFF00"/>
      <name val="Calibri"/>
      <family val="2"/>
      <scheme val="minor"/>
    </font>
    <font>
      <b/>
      <sz val="11"/>
      <name val="Calibri"/>
      <family val="2"/>
      <scheme val="minor"/>
    </font>
    <font>
      <sz val="24"/>
      <color theme="1"/>
      <name val="Calibri"/>
      <family val="2"/>
      <scheme val="minor"/>
    </font>
    <font>
      <b/>
      <sz val="16"/>
      <color rgb="FFFF0000"/>
      <name val="Calibri"/>
      <family val="2"/>
      <scheme val="minor"/>
    </font>
    <font>
      <sz val="10"/>
      <color rgb="FF0070C0"/>
      <name val="Calibri"/>
      <family val="2"/>
      <scheme val="minor"/>
    </font>
    <font>
      <b/>
      <sz val="14"/>
      <color rgb="FF0070C0"/>
      <name val="Calibri"/>
      <family val="2"/>
      <scheme val="minor"/>
    </font>
    <font>
      <b/>
      <sz val="16"/>
      <color rgb="FF0070C0"/>
      <name val="Calibri"/>
      <family val="2"/>
      <scheme val="minor"/>
    </font>
    <font>
      <i/>
      <sz val="11"/>
      <color rgb="FFFF0000"/>
      <name val="Calibri"/>
      <family val="2"/>
      <scheme val="minor"/>
    </font>
    <font>
      <b/>
      <sz val="11"/>
      <color theme="0"/>
      <name val="Calibri"/>
      <family val="2"/>
      <scheme val="minor"/>
    </font>
    <font>
      <sz val="11"/>
      <color rgb="FFFFFFFF"/>
      <name val="Calibri"/>
      <family val="2"/>
      <scheme val="minor"/>
    </font>
    <font>
      <sz val="11"/>
      <color theme="4"/>
      <name val="Calibri"/>
      <family val="2"/>
      <scheme val="minor"/>
    </font>
    <font>
      <i/>
      <sz val="11"/>
      <color theme="4"/>
      <name val="Calibri"/>
      <family val="2"/>
      <scheme val="minor"/>
    </font>
    <font>
      <sz val="16"/>
      <color theme="1"/>
      <name val="Calibri"/>
      <family val="2"/>
      <scheme val="minor"/>
    </font>
    <font>
      <sz val="8"/>
      <color theme="1"/>
      <name val="Calibri"/>
      <family val="2"/>
      <scheme val="minor"/>
    </font>
    <font>
      <b/>
      <sz val="11"/>
      <color theme="4"/>
      <name val="Calibri"/>
      <family val="2"/>
      <scheme val="minor"/>
    </font>
    <font>
      <sz val="11"/>
      <name val="Calibri"/>
      <family val="2"/>
      <scheme val="minor"/>
    </font>
    <font>
      <sz val="14"/>
      <name val="Calibri"/>
      <family val="2"/>
      <scheme val="minor"/>
    </font>
    <font>
      <sz val="14"/>
      <color theme="1"/>
      <name val="Calibri"/>
      <family val="2"/>
      <scheme val="minor"/>
    </font>
    <font>
      <sz val="16"/>
      <color theme="1"/>
      <name val="Calibri"/>
      <family val="2"/>
    </font>
    <font>
      <b/>
      <sz val="14"/>
      <name val="Calibri"/>
      <family val="2"/>
      <scheme val="minor"/>
    </font>
    <font>
      <sz val="16"/>
      <name val="Calibri"/>
      <family val="2"/>
      <scheme val="minor"/>
    </font>
    <font>
      <b/>
      <sz val="20"/>
      <name val="Calibri"/>
      <family val="2"/>
      <scheme val="minor"/>
    </font>
    <font>
      <b/>
      <i/>
      <sz val="20"/>
      <name val="Calibri"/>
      <family val="2"/>
      <scheme val="minor"/>
    </font>
    <font>
      <sz val="8"/>
      <name val="Calibri"/>
      <family val="2"/>
      <scheme val="minor"/>
    </font>
    <font>
      <sz val="11"/>
      <color theme="0" tint="-0.499984740745262"/>
      <name val="Calibri"/>
      <family val="2"/>
      <scheme val="minor"/>
    </font>
    <font>
      <b/>
      <sz val="12"/>
      <name val="Calibri"/>
      <family val="2"/>
      <scheme val="minor"/>
    </font>
    <font>
      <b/>
      <sz val="22"/>
      <color rgb="FFFF0000"/>
      <name val="Calibri"/>
      <family val="2"/>
      <scheme val="minor"/>
    </font>
    <font>
      <sz val="11"/>
      <color theme="2" tint="-0.249977111117893"/>
      <name val="Calibri"/>
      <family val="2"/>
      <scheme val="minor"/>
    </font>
    <font>
      <sz val="11"/>
      <color rgb="FFFF0000"/>
      <name val="Calibri"/>
      <family val="2"/>
      <scheme val="minor"/>
    </font>
    <font>
      <sz val="11"/>
      <color rgb="FF6666FF"/>
      <name val="Calibri"/>
      <family val="2"/>
      <scheme val="minor"/>
    </font>
    <font>
      <u/>
      <sz val="11"/>
      <color theme="1"/>
      <name val="Calibri"/>
      <family val="2"/>
      <scheme val="minor"/>
    </font>
    <font>
      <sz val="16"/>
      <color rgb="FF0070C0"/>
      <name val="Calibri"/>
      <family val="2"/>
      <scheme val="minor"/>
    </font>
    <font>
      <sz val="9"/>
      <color theme="1"/>
      <name val="Calibri"/>
      <family val="2"/>
      <scheme val="minor"/>
    </font>
    <font>
      <b/>
      <sz val="14"/>
      <color theme="1"/>
      <name val="Calibri"/>
      <family val="2"/>
      <scheme val="minor"/>
    </font>
    <font>
      <b/>
      <sz val="16"/>
      <color theme="1"/>
      <name val="Calibri"/>
      <family val="2"/>
      <scheme val="minor"/>
    </font>
    <font>
      <i/>
      <sz val="11"/>
      <color theme="7" tint="-0.249977111117893"/>
      <name val="Calibri"/>
      <family val="2"/>
      <scheme val="minor"/>
    </font>
    <font>
      <sz val="26"/>
      <color theme="0"/>
      <name val="Calibri"/>
      <family val="2"/>
      <scheme val="minor"/>
    </font>
    <font>
      <b/>
      <sz val="12"/>
      <color theme="0"/>
      <name val="Calibri"/>
      <family val="2"/>
      <scheme val="minor"/>
    </font>
    <font>
      <i/>
      <sz val="11"/>
      <name val="Calibri"/>
      <family val="2"/>
      <scheme val="minor"/>
    </font>
    <font>
      <i/>
      <u/>
      <sz val="11"/>
      <color theme="1"/>
      <name val="Calibri"/>
      <family val="2"/>
      <scheme val="minor"/>
    </font>
    <font>
      <b/>
      <i/>
      <sz val="11"/>
      <color theme="1"/>
      <name val="Calibri"/>
      <family val="2"/>
      <scheme val="minor"/>
    </font>
    <font>
      <b/>
      <i/>
      <sz val="8"/>
      <color theme="1"/>
      <name val="Calibri"/>
      <family val="2"/>
      <scheme val="minor"/>
    </font>
    <font>
      <sz val="11"/>
      <color theme="0" tint="-0.249977111117893"/>
      <name val="Calibri"/>
      <family val="2"/>
      <scheme val="minor"/>
    </font>
    <font>
      <b/>
      <sz val="18"/>
      <color rgb="FFFF0000"/>
      <name val="Calibri"/>
      <family val="2"/>
      <scheme val="minor"/>
    </font>
    <font>
      <b/>
      <sz val="11"/>
      <color theme="2" tint="-0.249977111117893"/>
      <name val="Calibri"/>
      <family val="2"/>
      <scheme val="minor"/>
    </font>
    <font>
      <sz val="12"/>
      <color theme="1"/>
      <name val="Calibri"/>
      <family val="2"/>
      <scheme val="minor"/>
    </font>
    <font>
      <sz val="9"/>
      <name val="Calibri"/>
      <family val="2"/>
      <scheme val="minor"/>
    </font>
    <font>
      <b/>
      <sz val="9"/>
      <color theme="1"/>
      <name val="Calibri"/>
      <family val="2"/>
      <scheme val="minor"/>
    </font>
    <font>
      <b/>
      <sz val="12"/>
      <color theme="1"/>
      <name val="Calibri"/>
      <family val="2"/>
      <scheme val="minor"/>
    </font>
    <font>
      <sz val="11"/>
      <color rgb="FFF9FBFD"/>
      <name val="Calibri"/>
      <family val="2"/>
      <scheme val="minor"/>
    </font>
    <font>
      <sz val="14"/>
      <color rgb="FFF9FBFD"/>
      <name val="Calibri"/>
      <family val="2"/>
      <scheme val="minor"/>
    </font>
    <font>
      <i/>
      <sz val="14"/>
      <color rgb="FFF9FBFD"/>
      <name val="Calibri"/>
      <family val="2"/>
      <scheme val="minor"/>
    </font>
    <font>
      <b/>
      <sz val="14"/>
      <color theme="0"/>
      <name val="Calibri"/>
      <family val="2"/>
      <scheme val="minor"/>
    </font>
    <font>
      <sz val="14"/>
      <color theme="0"/>
      <name val="Calibri"/>
      <family val="2"/>
      <scheme val="minor"/>
    </font>
    <font>
      <i/>
      <sz val="8"/>
      <color theme="1"/>
      <name val="Calibri"/>
      <family val="2"/>
      <scheme val="minor"/>
    </font>
    <font>
      <i/>
      <sz val="8"/>
      <name val="Calibri"/>
      <family val="2"/>
      <scheme val="minor"/>
    </font>
    <font>
      <b/>
      <i/>
      <sz val="8"/>
      <name val="Calibri"/>
      <family val="2"/>
      <scheme val="minor"/>
    </font>
    <font>
      <sz val="7"/>
      <color theme="1"/>
      <name val="Calibri"/>
      <family val="2"/>
      <scheme val="minor"/>
    </font>
    <font>
      <i/>
      <sz val="10"/>
      <name val="Calibri"/>
      <family val="2"/>
      <scheme val="minor"/>
    </font>
    <font>
      <sz val="11"/>
      <color theme="2"/>
      <name val="Calibri"/>
      <family val="2"/>
      <scheme val="minor"/>
    </font>
    <font>
      <sz val="10"/>
      <color theme="0"/>
      <name val="Calibri"/>
      <family val="2"/>
      <scheme val="minor"/>
    </font>
    <font>
      <sz val="10"/>
      <color theme="1"/>
      <name val="Calibri"/>
      <family val="2"/>
      <scheme val="minor"/>
    </font>
    <font>
      <b/>
      <sz val="14"/>
      <color rgb="FFFF0000"/>
      <name val="Calibri"/>
      <family val="2"/>
      <scheme val="minor"/>
    </font>
    <font>
      <sz val="14"/>
      <color theme="7" tint="-0.249977111117893"/>
      <name val="Calibri"/>
      <family val="2"/>
      <scheme val="minor"/>
    </font>
    <font>
      <b/>
      <sz val="8"/>
      <color rgb="FFFF0000"/>
      <name val="Calibri"/>
      <family val="2"/>
      <scheme val="minor"/>
    </font>
    <font>
      <sz val="8"/>
      <color rgb="FFFF0000"/>
      <name val="Calibri"/>
      <family val="2"/>
      <scheme val="minor"/>
    </font>
    <font>
      <sz val="8"/>
      <color rgb="FF6666FF"/>
      <name val="Calibri"/>
      <family val="2"/>
      <scheme val="minor"/>
    </font>
    <font>
      <b/>
      <sz val="12"/>
      <color theme="0" tint="-0.499984740745262"/>
      <name val="Calibri"/>
      <family val="2"/>
      <scheme val="minor"/>
    </font>
    <font>
      <b/>
      <sz val="11"/>
      <color theme="0" tint="-0.499984740745262"/>
      <name val="Calibri"/>
      <family val="2"/>
      <scheme val="minor"/>
    </font>
    <font>
      <b/>
      <sz val="22"/>
      <color theme="0" tint="-0.499984740745262"/>
      <name val="Calibri"/>
      <family val="2"/>
      <scheme val="minor"/>
    </font>
    <font>
      <b/>
      <sz val="26"/>
      <color theme="0" tint="-0.499984740745262"/>
      <name val="Calibri"/>
      <family val="2"/>
      <scheme val="minor"/>
    </font>
    <font>
      <b/>
      <i/>
      <sz val="12"/>
      <name val="Calibri"/>
      <family val="2"/>
      <scheme val="minor"/>
    </font>
    <font>
      <sz val="12"/>
      <color rgb="FF00B0F0"/>
      <name val="Calibri"/>
      <family val="2"/>
      <scheme val="minor"/>
    </font>
    <font>
      <b/>
      <sz val="10"/>
      <color theme="0"/>
      <name val="Calibri"/>
      <family val="2"/>
      <scheme val="minor"/>
    </font>
    <font>
      <b/>
      <vertAlign val="subscript"/>
      <sz val="11"/>
      <color theme="1"/>
      <name val="Calibri"/>
      <family val="2"/>
      <scheme val="minor"/>
    </font>
    <font>
      <vertAlign val="subscript"/>
      <sz val="14"/>
      <color theme="1"/>
      <name val="Calibri"/>
      <family val="2"/>
      <scheme val="minor"/>
    </font>
    <font>
      <b/>
      <sz val="11"/>
      <color theme="8"/>
      <name val="Calibri"/>
      <family val="2"/>
      <scheme val="minor"/>
    </font>
    <font>
      <sz val="11"/>
      <color theme="8"/>
      <name val="Calibri"/>
      <family val="2"/>
      <scheme val="minor"/>
    </font>
    <font>
      <i/>
      <sz val="11"/>
      <color theme="8"/>
      <name val="Calibri"/>
      <family val="2"/>
      <scheme val="minor"/>
    </font>
    <font>
      <b/>
      <sz val="12"/>
      <color theme="8"/>
      <name val="Calibri"/>
      <family val="2"/>
      <scheme val="minor"/>
    </font>
    <font>
      <b/>
      <sz val="24"/>
      <name val="Calibri"/>
      <family val="2"/>
      <scheme val="minor"/>
    </font>
    <font>
      <b/>
      <sz val="72"/>
      <name val="Calibri"/>
      <family val="2"/>
      <scheme val="minor"/>
    </font>
    <font>
      <b/>
      <sz val="14"/>
      <color rgb="FFFFFFFF"/>
      <name val="Calibri"/>
      <family val="2"/>
      <scheme val="minor"/>
    </font>
    <font>
      <b/>
      <vertAlign val="subscript"/>
      <sz val="14"/>
      <color rgb="FFFFFFFF"/>
      <name val="Calibri"/>
      <family val="2"/>
      <scheme val="minor"/>
    </font>
    <font>
      <b/>
      <sz val="18"/>
      <name val="Calibri"/>
      <family val="2"/>
      <scheme val="minor"/>
    </font>
    <font>
      <i/>
      <sz val="14"/>
      <name val="Calibri"/>
      <family val="2"/>
      <scheme val="minor"/>
    </font>
    <font>
      <sz val="14"/>
      <color rgb="FFFFFFFF"/>
      <name val="Calibri"/>
      <family val="2"/>
      <scheme val="minor"/>
    </font>
    <font>
      <b/>
      <sz val="26"/>
      <name val="Calibri"/>
      <family val="2"/>
      <scheme val="minor"/>
    </font>
    <font>
      <i/>
      <sz val="8"/>
      <color rgb="FF00B0F0"/>
      <name val="Calibri"/>
      <family val="2"/>
      <scheme val="minor"/>
    </font>
    <font>
      <sz val="48"/>
      <name val="Calibri"/>
      <family val="2"/>
      <scheme val="minor"/>
    </font>
    <font>
      <sz val="12"/>
      <color theme="0" tint="-0.499984740745262"/>
      <name val="Calibri"/>
      <family val="2"/>
      <scheme val="minor"/>
    </font>
    <font>
      <sz val="11"/>
      <color rgb="FF428BCE"/>
      <name val="Calibri"/>
      <family val="2"/>
      <scheme val="minor"/>
    </font>
    <font>
      <i/>
      <sz val="11"/>
      <color rgb="FF428BCE"/>
      <name val="Calibri"/>
      <family val="2"/>
      <scheme val="minor"/>
    </font>
    <font>
      <b/>
      <sz val="11"/>
      <color rgb="FF428BCE"/>
      <name val="Calibri"/>
      <family val="2"/>
      <scheme val="minor"/>
    </font>
    <font>
      <sz val="26"/>
      <name val="Calibri"/>
      <family val="2"/>
      <scheme val="minor"/>
    </font>
    <font>
      <sz val="10"/>
      <color rgb="FFFF0000"/>
      <name val="Calibri"/>
      <family val="2"/>
      <scheme val="minor"/>
    </font>
    <font>
      <u/>
      <sz val="11"/>
      <color theme="10"/>
      <name val="Calibri"/>
      <family val="2"/>
      <scheme val="minor"/>
    </font>
    <font>
      <b/>
      <sz val="12"/>
      <color rgb="FF0070C0"/>
      <name val="Calibri"/>
      <family val="2"/>
      <scheme val="minor"/>
    </font>
    <font>
      <i/>
      <sz val="9"/>
      <color rgb="FF0070C0"/>
      <name val="Calibri"/>
      <family val="2"/>
      <scheme val="minor"/>
    </font>
    <font>
      <u/>
      <sz val="11"/>
      <color rgb="FF0070C0"/>
      <name val="Calibri"/>
      <family val="2"/>
      <scheme val="minor"/>
    </font>
    <font>
      <b/>
      <sz val="8"/>
      <color theme="4"/>
      <name val="Calibri"/>
      <family val="2"/>
      <scheme val="minor"/>
    </font>
    <font>
      <i/>
      <sz val="11"/>
      <color rgb="FF0070C0"/>
      <name val="Calibri"/>
      <family val="2"/>
      <scheme val="minor"/>
    </font>
    <font>
      <u/>
      <sz val="11"/>
      <color rgb="FFFF0000"/>
      <name val="Calibri"/>
      <family val="2"/>
      <scheme val="minor"/>
    </font>
    <font>
      <i/>
      <u/>
      <sz val="11"/>
      <color rgb="FF0070C0"/>
      <name val="Calibri"/>
      <family val="2"/>
      <scheme val="minor"/>
    </font>
    <font>
      <sz val="10"/>
      <color rgb="FF000000"/>
      <name val="Amasis MT Pro Light"/>
      <family val="1"/>
    </font>
    <font>
      <sz val="10"/>
      <color rgb="FF0070C0"/>
      <name val="Amasis MT Pro Light"/>
      <family val="1"/>
    </font>
    <font>
      <b/>
      <sz val="10"/>
      <color rgb="FF0070C0"/>
      <name val="Amasis MT Pro Light"/>
      <family val="1"/>
    </font>
    <font>
      <b/>
      <sz val="10"/>
      <color rgb="FF000000"/>
      <name val="Amasis MT Pro Light"/>
      <family val="1"/>
    </font>
    <font>
      <b/>
      <sz val="10"/>
      <color rgb="FF0070C0"/>
      <name val="Calibri"/>
      <family val="2"/>
      <scheme val="minor"/>
    </font>
    <font>
      <b/>
      <sz val="10.5"/>
      <color rgb="FF0070C0"/>
      <name val="Calibri"/>
      <family val="2"/>
      <scheme val="minor"/>
    </font>
    <font>
      <i/>
      <sz val="10.5"/>
      <color rgb="FF0070C0"/>
      <name val="Calibri"/>
      <family val="2"/>
      <scheme val="minor"/>
    </font>
    <font>
      <b/>
      <sz val="10"/>
      <color rgb="FF0070C0"/>
      <name val="Calibri"/>
      <family val="2"/>
    </font>
    <font>
      <sz val="10"/>
      <color rgb="FF0070C0"/>
      <name val="Calibri"/>
      <family val="2"/>
    </font>
    <font>
      <sz val="10"/>
      <color rgb="FF0070C0"/>
      <name val="Arial"/>
      <family val="2"/>
    </font>
    <font>
      <b/>
      <i/>
      <sz val="10"/>
      <color rgb="FF0070C0"/>
      <name val="Arial"/>
      <family val="2"/>
    </font>
    <font>
      <sz val="9"/>
      <color rgb="FFFF0000"/>
      <name val="Calibri Light"/>
      <family val="2"/>
      <scheme val="major"/>
    </font>
  </fonts>
  <fills count="59">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00B0F0"/>
        <bgColor indexed="64"/>
      </patternFill>
    </fill>
    <fill>
      <patternFill patternType="solid">
        <fgColor rgb="FF0070C0"/>
        <bgColor indexed="64"/>
      </patternFill>
    </fill>
    <fill>
      <patternFill patternType="solid">
        <fgColor theme="4" tint="0.79998168889431442"/>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F000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000099"/>
        <bgColor indexed="64"/>
      </patternFill>
    </fill>
    <fill>
      <patternFill patternType="solid">
        <fgColor rgb="FFCC0000"/>
        <bgColor indexed="64"/>
      </patternFill>
    </fill>
    <fill>
      <patternFill patternType="solid">
        <fgColor rgb="FF00B050"/>
        <bgColor indexed="64"/>
      </patternFill>
    </fill>
    <fill>
      <patternFill patternType="solid">
        <fgColor rgb="FFFFC000"/>
        <bgColor indexed="64"/>
      </patternFill>
    </fill>
    <fill>
      <patternFill patternType="solid">
        <fgColor rgb="FF6666FF"/>
        <bgColor indexed="64"/>
      </patternFill>
    </fill>
    <fill>
      <patternFill patternType="solid">
        <fgColor rgb="FFC00000"/>
        <bgColor indexed="64"/>
      </patternFill>
    </fill>
    <fill>
      <patternFill patternType="solid">
        <fgColor theme="1"/>
        <bgColor indexed="64"/>
      </patternFill>
    </fill>
    <fill>
      <patternFill patternType="solid">
        <fgColor theme="0" tint="-4.9989318521683403E-2"/>
        <bgColor indexed="64"/>
      </patternFill>
    </fill>
    <fill>
      <patternFill patternType="solid">
        <fgColor theme="2"/>
        <bgColor indexed="64"/>
      </patternFill>
    </fill>
    <fill>
      <patternFill patternType="solid">
        <fgColor theme="7"/>
        <bgColor indexed="64"/>
      </patternFill>
    </fill>
    <fill>
      <patternFill patternType="solid">
        <fgColor rgb="FFFF6600"/>
        <bgColor indexed="64"/>
      </patternFill>
    </fill>
    <fill>
      <patternFill patternType="solid">
        <fgColor rgb="FF920000"/>
        <bgColor indexed="64"/>
      </patternFill>
    </fill>
    <fill>
      <patternFill patternType="solid">
        <fgColor theme="0" tint="-0.499984740745262"/>
        <bgColor indexed="64"/>
      </patternFill>
    </fill>
    <fill>
      <patternFill patternType="solid">
        <fgColor rgb="FFF2F8EE"/>
        <bgColor indexed="64"/>
      </patternFill>
    </fill>
    <fill>
      <patternFill patternType="solid">
        <fgColor rgb="FFF0F3FA"/>
        <bgColor indexed="64"/>
      </patternFill>
    </fill>
    <fill>
      <patternFill patternType="solid">
        <fgColor rgb="FFFDFAED"/>
        <bgColor indexed="64"/>
      </patternFill>
    </fill>
    <fill>
      <patternFill patternType="solid">
        <fgColor rgb="FFFFEBEF"/>
        <bgColor indexed="64"/>
      </patternFill>
    </fill>
    <fill>
      <patternFill patternType="solid">
        <fgColor rgb="FFF4F1FD"/>
        <bgColor indexed="64"/>
      </patternFill>
    </fill>
    <fill>
      <patternFill patternType="solid">
        <fgColor rgb="FF002060"/>
        <bgColor indexed="64"/>
      </patternFill>
    </fill>
    <fill>
      <patternFill patternType="solid">
        <fgColor theme="3" tint="-0.249977111117893"/>
        <bgColor indexed="64"/>
      </patternFill>
    </fill>
    <fill>
      <patternFill patternType="solid">
        <fgColor rgb="FFFFEBEB"/>
        <bgColor indexed="64"/>
      </patternFill>
    </fill>
    <fill>
      <patternFill patternType="solid">
        <fgColor rgb="FFFFF5EF"/>
        <bgColor indexed="64"/>
      </patternFill>
    </fill>
    <fill>
      <patternFill patternType="solid">
        <fgColor theme="2" tint="-9.9978637043366805E-2"/>
        <bgColor indexed="64"/>
      </patternFill>
    </fill>
    <fill>
      <patternFill patternType="solid">
        <fgColor theme="4" tint="-0.249977111117893"/>
        <bgColor indexed="64"/>
      </patternFill>
    </fill>
    <fill>
      <patternFill patternType="solid">
        <fgColor theme="0" tint="-0.34998626667073579"/>
        <bgColor indexed="64"/>
      </patternFill>
    </fill>
    <fill>
      <patternFill patternType="solid">
        <fgColor theme="2" tint="-0.249977111117893"/>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rgb="FFFFE6D5"/>
        <bgColor indexed="64"/>
      </patternFill>
    </fill>
    <fill>
      <patternFill patternType="solid">
        <fgColor rgb="FFFF9999"/>
        <bgColor indexed="64"/>
      </patternFill>
    </fill>
    <fill>
      <patternFill patternType="solid">
        <fgColor rgb="FF92D050"/>
        <bgColor indexed="64"/>
      </patternFill>
    </fill>
    <fill>
      <patternFill patternType="solid">
        <fgColor rgb="FF66CCFF"/>
        <bgColor indexed="64"/>
      </patternFill>
    </fill>
    <fill>
      <patternFill patternType="solid">
        <fgColor theme="9" tint="0.79998168889431442"/>
        <bgColor indexed="64"/>
      </patternFill>
    </fill>
    <fill>
      <patternFill patternType="solid">
        <fgColor theme="8" tint="0.39997558519241921"/>
        <bgColor indexed="64"/>
      </patternFill>
    </fill>
    <fill>
      <patternFill patternType="solid">
        <fgColor rgb="FFFFFFCC"/>
        <bgColor indexed="64"/>
      </patternFill>
    </fill>
    <fill>
      <patternFill patternType="solid">
        <fgColor theme="1" tint="0.34998626667073579"/>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4" tint="0.59999389629810485"/>
        <bgColor indexed="64"/>
      </patternFill>
    </fill>
    <fill>
      <patternFill patternType="solid">
        <fgColor rgb="FF6699FF"/>
        <bgColor indexed="64"/>
      </patternFill>
    </fill>
    <fill>
      <patternFill patternType="solid">
        <fgColor theme="5" tint="0.59999389629810485"/>
        <bgColor indexed="64"/>
      </patternFill>
    </fill>
    <fill>
      <patternFill patternType="solid">
        <fgColor rgb="FFFFCCCC"/>
        <bgColor indexed="64"/>
      </patternFill>
    </fill>
    <fill>
      <patternFill patternType="solid">
        <fgColor rgb="FFFFE5E5"/>
        <bgColor indexed="64"/>
      </patternFill>
    </fill>
    <fill>
      <patternFill patternType="solid">
        <fgColor rgb="FFDDDDFF"/>
        <bgColor indexed="64"/>
      </patternFill>
    </fill>
    <fill>
      <patternFill patternType="solid">
        <fgColor rgb="FFFF4343"/>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thin">
        <color theme="0"/>
      </left>
      <right style="thin">
        <color theme="0"/>
      </right>
      <top style="thin">
        <color theme="0"/>
      </top>
      <bottom style="thin">
        <color theme="0"/>
      </bottom>
      <diagonal/>
    </border>
    <border>
      <left style="medium">
        <color theme="0"/>
      </left>
      <right style="medium">
        <color theme="0"/>
      </right>
      <top style="thin">
        <color indexed="64"/>
      </top>
      <bottom style="thin">
        <color indexed="64"/>
      </bottom>
      <diagonal/>
    </border>
    <border>
      <left style="medium">
        <color theme="0"/>
      </left>
      <right style="medium">
        <color theme="0"/>
      </right>
      <top/>
      <bottom/>
      <diagonal/>
    </border>
    <border>
      <left style="medium">
        <color theme="0"/>
      </left>
      <right style="medium">
        <color theme="0"/>
      </right>
      <top/>
      <bottom style="thin">
        <color indexed="64"/>
      </bottom>
      <diagonal/>
    </border>
    <border>
      <left style="medium">
        <color theme="0"/>
      </left>
      <right style="medium">
        <color theme="0"/>
      </right>
      <top style="thin">
        <color indexed="64"/>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style="thin">
        <color indexed="64"/>
      </bottom>
      <diagonal/>
    </border>
    <border>
      <left/>
      <right style="thin">
        <color theme="1"/>
      </right>
      <top/>
      <bottom/>
      <diagonal/>
    </border>
    <border>
      <left style="thin">
        <color theme="1"/>
      </left>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right style="medium">
        <color indexed="64"/>
      </right>
      <top/>
      <bottom style="thin">
        <color indexed="64"/>
      </bottom>
      <diagonal/>
    </border>
    <border>
      <left style="medium">
        <color theme="0"/>
      </left>
      <right style="medium">
        <color theme="0"/>
      </right>
      <top style="medium">
        <color indexed="64"/>
      </top>
      <bottom style="thin">
        <color indexed="64"/>
      </bottom>
      <diagonal/>
    </border>
    <border>
      <left style="medium">
        <color theme="0"/>
      </left>
      <right style="medium">
        <color theme="0"/>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thin">
        <color rgb="FF0070C0"/>
      </left>
      <right/>
      <top style="thin">
        <color rgb="FF0070C0"/>
      </top>
      <bottom style="thin">
        <color rgb="FF0070C0"/>
      </bottom>
      <diagonal/>
    </border>
    <border>
      <left/>
      <right/>
      <top style="thin">
        <color rgb="FF0070C0"/>
      </top>
      <bottom style="thin">
        <color rgb="FF0070C0"/>
      </bottom>
      <diagonal/>
    </border>
    <border>
      <left/>
      <right style="thin">
        <color rgb="FF0070C0"/>
      </right>
      <top style="thin">
        <color rgb="FF0070C0"/>
      </top>
      <bottom style="thin">
        <color rgb="FF0070C0"/>
      </bottom>
      <diagonal/>
    </border>
    <border>
      <left style="thin">
        <color rgb="FF0070C0"/>
      </left>
      <right style="thin">
        <color rgb="FF0070C0"/>
      </right>
      <top style="thin">
        <color rgb="FF0070C0"/>
      </top>
      <bottom/>
      <diagonal/>
    </border>
    <border>
      <left/>
      <right/>
      <top style="thin">
        <color rgb="FF0070C0"/>
      </top>
      <bottom/>
      <diagonal/>
    </border>
    <border>
      <left/>
      <right style="thin">
        <color rgb="FF0070C0"/>
      </right>
      <top style="thin">
        <color rgb="FF0070C0"/>
      </top>
      <bottom/>
      <diagonal/>
    </border>
    <border>
      <left style="thin">
        <color rgb="FF0070C0"/>
      </left>
      <right style="thin">
        <color rgb="FF0070C0"/>
      </right>
      <top/>
      <bottom style="thin">
        <color rgb="FF0070C0"/>
      </bottom>
      <diagonal/>
    </border>
    <border>
      <left/>
      <right/>
      <top/>
      <bottom style="thin">
        <color rgb="FF0070C0"/>
      </bottom>
      <diagonal/>
    </border>
    <border>
      <left/>
      <right style="thin">
        <color rgb="FF0070C0"/>
      </right>
      <top/>
      <bottom style="thin">
        <color rgb="FF0070C0"/>
      </bottom>
      <diagonal/>
    </border>
    <border>
      <left style="thin">
        <color rgb="FF0070C0"/>
      </left>
      <right style="thin">
        <color rgb="FF0070C0"/>
      </right>
      <top/>
      <bottom/>
      <diagonal/>
    </border>
    <border>
      <left/>
      <right style="thin">
        <color rgb="FF0070C0"/>
      </right>
      <top/>
      <bottom/>
      <diagonal/>
    </border>
    <border>
      <left style="thin">
        <color rgb="FF0070C0"/>
      </left>
      <right style="thin">
        <color rgb="FF0070C0"/>
      </right>
      <top style="thin">
        <color rgb="FF0070C0"/>
      </top>
      <bottom style="thin">
        <color rgb="FF0070C0"/>
      </bottom>
      <diagonal/>
    </border>
  </borders>
  <cellStyleXfs count="2">
    <xf numFmtId="0" fontId="0" fillId="0" borderId="0"/>
    <xf numFmtId="0" fontId="116" fillId="0" borderId="0" applyNumberFormat="0" applyFill="0" applyBorder="0" applyAlignment="0" applyProtection="0"/>
  </cellStyleXfs>
  <cellXfs count="895">
    <xf numFmtId="0" fontId="0" fillId="0" borderId="0" xfId="0"/>
    <xf numFmtId="0" fontId="0" fillId="0" borderId="0" xfId="0" applyFill="1"/>
    <xf numFmtId="0" fontId="3" fillId="0" borderId="0" xfId="0" applyFont="1"/>
    <xf numFmtId="0" fontId="6" fillId="0" borderId="0" xfId="0" applyFont="1" applyAlignment="1">
      <alignment horizontal="right"/>
    </xf>
    <xf numFmtId="0" fontId="6" fillId="0" borderId="0" xfId="0" applyFont="1"/>
    <xf numFmtId="0" fontId="12" fillId="0" borderId="0" xfId="0" applyFont="1"/>
    <xf numFmtId="0" fontId="7" fillId="6" borderId="1" xfId="0" applyFont="1" applyFill="1" applyBorder="1" applyAlignment="1">
      <alignment vertical="top" wrapText="1"/>
    </xf>
    <xf numFmtId="0" fontId="7" fillId="6" borderId="10" xfId="0" applyFont="1" applyFill="1" applyBorder="1" applyAlignment="1">
      <alignment vertical="top" wrapText="1"/>
    </xf>
    <xf numFmtId="0" fontId="12" fillId="8" borderId="0" xfId="0" applyFont="1" applyFill="1" applyBorder="1" applyAlignment="1">
      <alignment vertical="center"/>
    </xf>
    <xf numFmtId="0" fontId="12" fillId="8" borderId="6" xfId="0" applyFont="1" applyFill="1" applyBorder="1" applyAlignment="1">
      <alignment vertical="center"/>
    </xf>
    <xf numFmtId="0" fontId="12" fillId="8" borderId="8" xfId="0" applyFont="1" applyFill="1" applyBorder="1" applyAlignment="1">
      <alignment vertical="center"/>
    </xf>
    <xf numFmtId="0" fontId="12" fillId="8" borderId="9" xfId="0" applyFont="1" applyFill="1" applyBorder="1" applyAlignment="1">
      <alignment vertical="center"/>
    </xf>
    <xf numFmtId="0" fontId="2" fillId="0" borderId="0" xfId="0" applyFont="1" applyFill="1"/>
    <xf numFmtId="164" fontId="15" fillId="0" borderId="0" xfId="0" applyNumberFormat="1" applyFont="1" applyFill="1"/>
    <xf numFmtId="9" fontId="16" fillId="0" borderId="0" xfId="0" applyNumberFormat="1" applyFont="1" applyFill="1"/>
    <xf numFmtId="164" fontId="2" fillId="0" borderId="0" xfId="0" applyNumberFormat="1" applyFont="1" applyFill="1"/>
    <xf numFmtId="164" fontId="17" fillId="0" borderId="0" xfId="0" applyNumberFormat="1" applyFont="1" applyFill="1"/>
    <xf numFmtId="0" fontId="2" fillId="0" borderId="0" xfId="0" applyFont="1" applyFill="1" applyAlignment="1">
      <alignment horizontal="right"/>
    </xf>
    <xf numFmtId="0" fontId="0" fillId="9" borderId="0" xfId="0" applyFill="1"/>
    <xf numFmtId="0" fontId="0" fillId="9" borderId="0" xfId="0" applyFill="1" applyBorder="1"/>
    <xf numFmtId="0" fontId="0" fillId="0" borderId="0" xfId="0" applyBorder="1"/>
    <xf numFmtId="9" fontId="19" fillId="6" borderId="3" xfId="0" applyNumberFormat="1" applyFont="1" applyFill="1" applyBorder="1"/>
    <xf numFmtId="9" fontId="19" fillId="6" borderId="15" xfId="0" applyNumberFormat="1" applyFont="1" applyFill="1" applyBorder="1"/>
    <xf numFmtId="9" fontId="19" fillId="6" borderId="14" xfId="0" applyNumberFormat="1" applyFont="1" applyFill="1" applyBorder="1"/>
    <xf numFmtId="9" fontId="14" fillId="9" borderId="3" xfId="0" applyNumberFormat="1" applyFont="1" applyFill="1" applyBorder="1" applyAlignment="1">
      <alignment vertical="center"/>
    </xf>
    <xf numFmtId="9" fontId="14" fillId="9" borderId="4" xfId="0" applyNumberFormat="1" applyFont="1" applyFill="1" applyBorder="1" applyAlignment="1">
      <alignment vertical="center"/>
    </xf>
    <xf numFmtId="9" fontId="14" fillId="9" borderId="0" xfId="0" applyNumberFormat="1" applyFont="1" applyFill="1" applyBorder="1" applyAlignment="1">
      <alignment vertical="center"/>
    </xf>
    <xf numFmtId="9" fontId="14" fillId="9" borderId="6" xfId="0" applyNumberFormat="1" applyFont="1" applyFill="1" applyBorder="1" applyAlignment="1">
      <alignment vertical="center"/>
    </xf>
    <xf numFmtId="9" fontId="14" fillId="9" borderId="8" xfId="0" applyNumberFormat="1" applyFont="1" applyFill="1" applyBorder="1" applyAlignment="1">
      <alignment vertical="center"/>
    </xf>
    <xf numFmtId="9" fontId="14" fillId="9" borderId="9" xfId="0" applyNumberFormat="1" applyFont="1" applyFill="1" applyBorder="1" applyAlignment="1">
      <alignment vertical="center"/>
    </xf>
    <xf numFmtId="0" fontId="0" fillId="0" borderId="5" xfId="0" applyBorder="1"/>
    <xf numFmtId="0" fontId="0" fillId="0" borderId="7" xfId="0" applyBorder="1"/>
    <xf numFmtId="0" fontId="6" fillId="0" borderId="0" xfId="0" applyFont="1" applyAlignment="1">
      <alignment horizontal="center" vertical="top" textRotation="180" readingOrder="2"/>
    </xf>
    <xf numFmtId="0" fontId="25" fillId="0" borderId="0" xfId="0" applyFont="1"/>
    <xf numFmtId="0" fontId="26" fillId="0" borderId="0" xfId="0" applyFont="1"/>
    <xf numFmtId="0" fontId="27" fillId="0" borderId="0" xfId="0" applyFont="1"/>
    <xf numFmtId="0" fontId="30" fillId="0" borderId="0" xfId="0" applyFont="1"/>
    <xf numFmtId="0" fontId="0" fillId="0" borderId="0" xfId="0" applyProtection="1">
      <protection locked="0"/>
    </xf>
    <xf numFmtId="0" fontId="0" fillId="0" borderId="8" xfId="0" applyBorder="1"/>
    <xf numFmtId="0" fontId="34" fillId="0" borderId="0" xfId="0" applyFont="1"/>
    <xf numFmtId="0" fontId="32" fillId="0" borderId="0" xfId="0" applyFont="1"/>
    <xf numFmtId="0" fontId="1" fillId="16" borderId="0" xfId="0" applyFont="1" applyFill="1" applyBorder="1" applyAlignment="1">
      <alignment vertical="top" wrapText="1"/>
    </xf>
    <xf numFmtId="0" fontId="1" fillId="17" borderId="0" xfId="0" applyFont="1" applyFill="1" applyBorder="1" applyAlignment="1">
      <alignment vertical="top" wrapText="1"/>
    </xf>
    <xf numFmtId="0" fontId="1" fillId="18" borderId="0" xfId="0" applyFont="1" applyFill="1" applyBorder="1" applyAlignment="1">
      <alignment vertical="top" wrapText="1"/>
    </xf>
    <xf numFmtId="0" fontId="28" fillId="16" borderId="0" xfId="0" applyFont="1" applyFill="1" applyBorder="1" applyAlignment="1">
      <alignment vertical="top"/>
    </xf>
    <xf numFmtId="0" fontId="28" fillId="17" borderId="0" xfId="0" applyFont="1" applyFill="1" applyBorder="1" applyAlignment="1">
      <alignment vertical="top"/>
    </xf>
    <xf numFmtId="0" fontId="28" fillId="18" borderId="0" xfId="0" applyFont="1" applyFill="1" applyBorder="1" applyAlignment="1">
      <alignment vertical="top"/>
    </xf>
    <xf numFmtId="0" fontId="36" fillId="2" borderId="0" xfId="0" applyFont="1" applyFill="1" applyBorder="1"/>
    <xf numFmtId="1" fontId="39" fillId="2" borderId="0" xfId="0" applyNumberFormat="1" applyFont="1" applyFill="1" applyBorder="1" applyAlignment="1">
      <alignment horizontal="center"/>
    </xf>
    <xf numFmtId="1" fontId="42" fillId="2" borderId="0" xfId="0" applyNumberFormat="1" applyFont="1" applyFill="1" applyBorder="1" applyAlignment="1">
      <alignment horizontal="center"/>
    </xf>
    <xf numFmtId="0" fontId="39" fillId="2" borderId="0" xfId="0" applyFont="1" applyFill="1" applyBorder="1"/>
    <xf numFmtId="0" fontId="28" fillId="23" borderId="0" xfId="0" applyFont="1" applyFill="1" applyBorder="1" applyAlignment="1">
      <alignment vertical="top"/>
    </xf>
    <xf numFmtId="0" fontId="1" fillId="23" borderId="0" xfId="0" applyFont="1" applyFill="1" applyBorder="1" applyAlignment="1">
      <alignment vertical="top" wrapText="1"/>
    </xf>
    <xf numFmtId="1" fontId="39" fillId="2" borderId="8" xfId="0" applyNumberFormat="1" applyFont="1" applyFill="1" applyBorder="1" applyAlignment="1">
      <alignment horizontal="center"/>
    </xf>
    <xf numFmtId="0" fontId="21" fillId="20" borderId="3" xfId="0" applyFont="1" applyFill="1" applyBorder="1"/>
    <xf numFmtId="9" fontId="43" fillId="20" borderId="0" xfId="0" applyNumberFormat="1" applyFont="1" applyFill="1" applyBorder="1"/>
    <xf numFmtId="0" fontId="28" fillId="15" borderId="0" xfId="0" applyFont="1" applyFill="1" applyBorder="1" applyAlignment="1">
      <alignment vertical="top"/>
    </xf>
    <xf numFmtId="0" fontId="28" fillId="15" borderId="0" xfId="0" applyFont="1" applyFill="1" applyBorder="1" applyAlignment="1">
      <alignment vertical="top" wrapText="1"/>
    </xf>
    <xf numFmtId="0" fontId="0" fillId="25" borderId="3" xfId="0" applyFill="1" applyBorder="1"/>
    <xf numFmtId="0" fontId="0" fillId="25" borderId="4" xfId="0" applyFill="1" applyBorder="1"/>
    <xf numFmtId="0" fontId="12" fillId="14" borderId="15" xfId="0" applyFont="1" applyFill="1" applyBorder="1" applyAlignment="1">
      <alignment vertical="center"/>
    </xf>
    <xf numFmtId="0" fontId="12" fillId="14" borderId="14" xfId="0" applyFont="1" applyFill="1" applyBorder="1" applyAlignment="1">
      <alignment vertical="center"/>
    </xf>
    <xf numFmtId="0" fontId="12" fillId="23" borderId="15" xfId="0" applyFont="1" applyFill="1" applyBorder="1" applyAlignment="1">
      <alignment vertical="center"/>
    </xf>
    <xf numFmtId="0" fontId="12" fillId="23" borderId="14" xfId="0" applyFont="1" applyFill="1" applyBorder="1" applyAlignment="1">
      <alignment vertical="center"/>
    </xf>
    <xf numFmtId="0" fontId="12" fillId="18" borderId="15" xfId="0" applyFont="1" applyFill="1" applyBorder="1" applyAlignment="1">
      <alignment vertical="center"/>
    </xf>
    <xf numFmtId="0" fontId="12" fillId="18" borderId="14" xfId="0" applyFont="1" applyFill="1" applyBorder="1" applyAlignment="1">
      <alignment vertical="center"/>
    </xf>
    <xf numFmtId="0" fontId="12" fillId="17" borderId="15" xfId="0" applyFont="1" applyFill="1" applyBorder="1" applyAlignment="1">
      <alignment vertical="center"/>
    </xf>
    <xf numFmtId="0" fontId="12" fillId="17" borderId="14" xfId="0" applyFont="1" applyFill="1" applyBorder="1" applyAlignment="1">
      <alignment vertical="center"/>
    </xf>
    <xf numFmtId="0" fontId="12" fillId="13" borderId="15" xfId="0" applyFont="1" applyFill="1" applyBorder="1" applyAlignment="1">
      <alignment vertical="center"/>
    </xf>
    <xf numFmtId="0" fontId="12" fillId="13" borderId="14" xfId="0" applyFont="1" applyFill="1" applyBorder="1" applyAlignment="1">
      <alignment vertical="center"/>
    </xf>
    <xf numFmtId="0" fontId="12" fillId="16" borderId="15" xfId="0" applyFont="1" applyFill="1" applyBorder="1" applyAlignment="1">
      <alignment vertical="center"/>
    </xf>
    <xf numFmtId="0" fontId="12" fillId="16" borderId="14" xfId="0" applyFont="1" applyFill="1" applyBorder="1" applyAlignment="1">
      <alignment vertical="center"/>
    </xf>
    <xf numFmtId="0" fontId="12" fillId="15" borderId="15" xfId="0" applyFont="1" applyFill="1" applyBorder="1" applyAlignment="1">
      <alignment vertical="center"/>
    </xf>
    <xf numFmtId="0" fontId="12" fillId="15" borderId="14" xfId="0" applyFont="1" applyFill="1" applyBorder="1" applyAlignment="1">
      <alignment vertical="center"/>
    </xf>
    <xf numFmtId="0" fontId="44" fillId="15" borderId="13" xfId="0" applyFont="1" applyFill="1" applyBorder="1" applyAlignment="1">
      <alignment vertical="center"/>
    </xf>
    <xf numFmtId="0" fontId="44" fillId="16" borderId="13" xfId="0" applyFont="1" applyFill="1" applyBorder="1" applyAlignment="1">
      <alignment vertical="center"/>
    </xf>
    <xf numFmtId="0" fontId="44" fillId="17" borderId="13" xfId="0" applyFont="1" applyFill="1" applyBorder="1" applyAlignment="1">
      <alignment vertical="center"/>
    </xf>
    <xf numFmtId="0" fontId="44" fillId="23" borderId="13" xfId="0" applyFont="1" applyFill="1" applyBorder="1" applyAlignment="1">
      <alignment vertical="center"/>
    </xf>
    <xf numFmtId="0" fontId="44" fillId="18" borderId="13" xfId="0" applyFont="1" applyFill="1" applyBorder="1" applyAlignment="1">
      <alignment vertical="center"/>
    </xf>
    <xf numFmtId="0" fontId="44" fillId="2" borderId="0" xfId="0" applyFont="1" applyFill="1"/>
    <xf numFmtId="0" fontId="2" fillId="0" borderId="0" xfId="0" applyFont="1" applyAlignment="1">
      <alignment horizontal="center" vertical="top" textRotation="180" readingOrder="2"/>
    </xf>
    <xf numFmtId="0" fontId="0" fillId="0" borderId="3" xfId="0" applyBorder="1"/>
    <xf numFmtId="1" fontId="36" fillId="2" borderId="0" xfId="0" applyNumberFormat="1" applyFont="1" applyFill="1" applyBorder="1" applyAlignment="1">
      <alignment horizontal="center"/>
    </xf>
    <xf numFmtId="1" fontId="41" fillId="2" borderId="15" xfId="0" applyNumberFormat="1" applyFont="1" applyFill="1" applyBorder="1" applyAlignment="1">
      <alignment horizontal="center"/>
    </xf>
    <xf numFmtId="0" fontId="28" fillId="15" borderId="5" xfId="0" applyFont="1" applyFill="1" applyBorder="1" applyAlignment="1">
      <alignment horizontal="center" vertical="top" wrapText="1"/>
    </xf>
    <xf numFmtId="0" fontId="28" fillId="16" borderId="5" xfId="0" applyFont="1" applyFill="1" applyBorder="1" applyAlignment="1">
      <alignment horizontal="center" vertical="top" wrapText="1"/>
    </xf>
    <xf numFmtId="0" fontId="28" fillId="17" borderId="5" xfId="0" applyFont="1" applyFill="1" applyBorder="1" applyAlignment="1">
      <alignment horizontal="center" vertical="top" wrapText="1"/>
    </xf>
    <xf numFmtId="0" fontId="28" fillId="23" borderId="5" xfId="0" applyFont="1" applyFill="1" applyBorder="1" applyAlignment="1">
      <alignment horizontal="center" vertical="top" wrapText="1"/>
    </xf>
    <xf numFmtId="0" fontId="28" fillId="18" borderId="5" xfId="0" applyFont="1" applyFill="1" applyBorder="1" applyAlignment="1">
      <alignment horizontal="center" vertical="top" wrapText="1"/>
    </xf>
    <xf numFmtId="0" fontId="28" fillId="10" borderId="5" xfId="0" applyFont="1" applyFill="1" applyBorder="1" applyAlignment="1">
      <alignment horizontal="center" vertical="top" wrapText="1"/>
    </xf>
    <xf numFmtId="0" fontId="44" fillId="10" borderId="13" xfId="0" applyFont="1" applyFill="1" applyBorder="1" applyAlignment="1">
      <alignment vertical="center"/>
    </xf>
    <xf numFmtId="0" fontId="28" fillId="10" borderId="0" xfId="0" applyFont="1" applyFill="1" applyBorder="1" applyAlignment="1">
      <alignment vertical="top" wrapText="1"/>
    </xf>
    <xf numFmtId="0" fontId="44" fillId="26" borderId="5" xfId="0" applyFont="1" applyFill="1" applyBorder="1" applyAlignment="1">
      <alignment vertical="center"/>
    </xf>
    <xf numFmtId="0" fontId="44" fillId="27" borderId="5" xfId="0" applyFont="1" applyFill="1" applyBorder="1" applyAlignment="1">
      <alignment vertical="center"/>
    </xf>
    <xf numFmtId="0" fontId="44" fillId="28" borderId="5" xfId="0" applyFont="1" applyFill="1" applyBorder="1" applyAlignment="1">
      <alignment vertical="center"/>
    </xf>
    <xf numFmtId="0" fontId="28" fillId="10" borderId="6" xfId="0" applyFont="1" applyFill="1" applyBorder="1" applyAlignment="1">
      <alignment vertical="top"/>
    </xf>
    <xf numFmtId="0" fontId="44" fillId="29" borderId="5" xfId="0" applyFont="1" applyFill="1" applyBorder="1" applyAlignment="1">
      <alignment vertical="center"/>
    </xf>
    <xf numFmtId="0" fontId="44" fillId="21" borderId="5" xfId="0" applyFont="1" applyFill="1" applyBorder="1" applyAlignment="1">
      <alignment vertical="center"/>
    </xf>
    <xf numFmtId="0" fontId="44" fillId="30" borderId="5" xfId="0" applyFont="1" applyFill="1" applyBorder="1" applyAlignment="1">
      <alignment vertical="center"/>
    </xf>
    <xf numFmtId="0" fontId="28" fillId="31" borderId="5" xfId="0" applyFont="1" applyFill="1" applyBorder="1" applyAlignment="1">
      <alignment horizontal="center" vertical="top" wrapText="1"/>
    </xf>
    <xf numFmtId="0" fontId="28" fillId="31" borderId="0" xfId="0" applyFont="1" applyFill="1" applyBorder="1" applyAlignment="1">
      <alignment vertical="top"/>
    </xf>
    <xf numFmtId="0" fontId="1" fillId="31" borderId="0" xfId="0" applyFont="1" applyFill="1" applyBorder="1" applyAlignment="1">
      <alignment vertical="top" wrapText="1"/>
    </xf>
    <xf numFmtId="0" fontId="44" fillId="31" borderId="13" xfId="0" applyFont="1" applyFill="1" applyBorder="1" applyAlignment="1">
      <alignment vertical="center"/>
    </xf>
    <xf numFmtId="0" fontId="7" fillId="32" borderId="0" xfId="0" applyFont="1" applyFill="1" applyBorder="1" applyAlignment="1">
      <alignment vertical="top" wrapText="1"/>
    </xf>
    <xf numFmtId="0" fontId="0" fillId="32" borderId="2" xfId="0" applyFill="1" applyBorder="1"/>
    <xf numFmtId="0" fontId="44" fillId="33" borderId="7" xfId="0" applyFont="1" applyFill="1" applyBorder="1" applyAlignment="1">
      <alignment vertical="center"/>
    </xf>
    <xf numFmtId="0" fontId="44" fillId="34" borderId="5" xfId="0" applyFont="1" applyFill="1" applyBorder="1" applyAlignment="1">
      <alignment vertical="center"/>
    </xf>
    <xf numFmtId="0" fontId="0" fillId="0" borderId="0" xfId="0" applyAlignment="1">
      <alignment horizontal="left"/>
    </xf>
    <xf numFmtId="0" fontId="0" fillId="0" borderId="0" xfId="0" applyAlignment="1">
      <alignment horizontal="right"/>
    </xf>
    <xf numFmtId="0" fontId="0" fillId="0" borderId="0" xfId="0" applyAlignment="1">
      <alignment horizontal="center"/>
    </xf>
    <xf numFmtId="0" fontId="2" fillId="19" borderId="0" xfId="0" applyFont="1" applyFill="1"/>
    <xf numFmtId="0" fontId="29" fillId="19" borderId="0" xfId="0" applyFont="1" applyFill="1"/>
    <xf numFmtId="0" fontId="7" fillId="0" borderId="0" xfId="0" applyFont="1" applyFill="1"/>
    <xf numFmtId="0" fontId="24" fillId="0" borderId="0" xfId="0" applyFont="1" applyFill="1" applyBorder="1" applyAlignment="1">
      <alignment horizontal="center" textRotation="180"/>
    </xf>
    <xf numFmtId="1" fontId="0" fillId="0" borderId="0" xfId="0" applyNumberFormat="1" applyFill="1" applyBorder="1" applyAlignment="1">
      <alignment horizontal="center"/>
    </xf>
    <xf numFmtId="1" fontId="7" fillId="0" borderId="0" xfId="0" applyNumberFormat="1" applyFont="1" applyFill="1" applyBorder="1" applyAlignment="1">
      <alignment horizontal="center"/>
    </xf>
    <xf numFmtId="1" fontId="56" fillId="0" borderId="0" xfId="0" applyNumberFormat="1" applyFont="1" applyAlignment="1">
      <alignment horizontal="left"/>
    </xf>
    <xf numFmtId="0" fontId="28" fillId="10" borderId="13" xfId="0" applyFont="1" applyFill="1" applyBorder="1" applyAlignment="1">
      <alignment vertical="top"/>
    </xf>
    <xf numFmtId="0" fontId="2" fillId="15" borderId="13" xfId="0" applyFont="1" applyFill="1" applyBorder="1" applyAlignment="1" applyProtection="1">
      <alignment vertical="top" wrapText="1"/>
      <protection locked="0"/>
    </xf>
    <xf numFmtId="0" fontId="0" fillId="0" borderId="2" xfId="0" applyBorder="1"/>
    <xf numFmtId="0" fontId="0" fillId="0" borderId="3" xfId="0" applyBorder="1" applyAlignment="1">
      <alignment horizontal="center"/>
    </xf>
    <xf numFmtId="0" fontId="0" fillId="0" borderId="4" xfId="0" applyBorder="1"/>
    <xf numFmtId="0" fontId="0" fillId="0" borderId="5" xfId="0" applyBorder="1" applyAlignment="1">
      <alignment horizontal="center"/>
    </xf>
    <xf numFmtId="0" fontId="0" fillId="0" borderId="6" xfId="0" applyBorder="1"/>
    <xf numFmtId="0" fontId="0" fillId="0" borderId="7" xfId="0" applyBorder="1" applyAlignment="1">
      <alignment horizontal="center"/>
    </xf>
    <xf numFmtId="0" fontId="0" fillId="0" borderId="9" xfId="0" applyBorder="1"/>
    <xf numFmtId="0" fontId="0" fillId="0" borderId="0" xfId="0" applyBorder="1" applyAlignment="1">
      <alignment horizontal="center"/>
    </xf>
    <xf numFmtId="9" fontId="13" fillId="0" borderId="0" xfId="0" applyNumberFormat="1" applyFont="1" applyBorder="1" applyAlignment="1">
      <alignment horizontal="right"/>
    </xf>
    <xf numFmtId="0" fontId="12" fillId="0" borderId="0" xfId="0" applyFont="1" applyBorder="1"/>
    <xf numFmtId="0" fontId="57" fillId="32" borderId="5" xfId="0" applyFont="1" applyFill="1" applyBorder="1" applyAlignment="1">
      <alignment horizontal="center"/>
    </xf>
    <xf numFmtId="0" fontId="57" fillId="10" borderId="5" xfId="0" applyFont="1" applyFill="1" applyBorder="1" applyAlignment="1">
      <alignment horizontal="center"/>
    </xf>
    <xf numFmtId="0" fontId="57" fillId="15" borderId="5" xfId="0" applyFont="1" applyFill="1" applyBorder="1" applyAlignment="1">
      <alignment horizontal="center"/>
    </xf>
    <xf numFmtId="0" fontId="57" fillId="36" borderId="5" xfId="0" applyFont="1" applyFill="1" applyBorder="1" applyAlignment="1">
      <alignment horizontal="center"/>
    </xf>
    <xf numFmtId="0" fontId="57" fillId="17" borderId="5" xfId="0" applyFont="1" applyFill="1" applyBorder="1" applyAlignment="1">
      <alignment horizontal="center"/>
    </xf>
    <xf numFmtId="0" fontId="57" fillId="23" borderId="5" xfId="0" applyFont="1" applyFill="1" applyBorder="1" applyAlignment="1">
      <alignment horizontal="center"/>
    </xf>
    <xf numFmtId="0" fontId="57" fillId="18" borderId="5" xfId="0" applyFont="1" applyFill="1" applyBorder="1" applyAlignment="1">
      <alignment horizontal="center"/>
    </xf>
    <xf numFmtId="0" fontId="28" fillId="32" borderId="0" xfId="0" applyFont="1" applyFill="1" applyBorder="1"/>
    <xf numFmtId="0" fontId="2" fillId="32" borderId="0" xfId="0" applyFont="1" applyFill="1" applyBorder="1"/>
    <xf numFmtId="0" fontId="28" fillId="10" borderId="0" xfId="0" applyFont="1" applyFill="1" applyBorder="1"/>
    <xf numFmtId="0" fontId="0" fillId="10" borderId="0" xfId="0" applyFill="1" applyBorder="1"/>
    <xf numFmtId="0" fontId="28" fillId="15" borderId="0" xfId="0" applyFont="1" applyFill="1" applyBorder="1"/>
    <xf numFmtId="0" fontId="0" fillId="15" borderId="0" xfId="0" applyFill="1" applyBorder="1"/>
    <xf numFmtId="0" fontId="1" fillId="16" borderId="0" xfId="0" applyFont="1" applyFill="1" applyBorder="1"/>
    <xf numFmtId="0" fontId="0" fillId="16" borderId="0" xfId="0" applyFill="1" applyBorder="1"/>
    <xf numFmtId="0" fontId="28" fillId="36" borderId="0" xfId="0" applyFont="1" applyFill="1" applyBorder="1"/>
    <xf numFmtId="0" fontId="2" fillId="36" borderId="0" xfId="0" applyFont="1" applyFill="1" applyBorder="1"/>
    <xf numFmtId="0" fontId="28" fillId="17" borderId="0" xfId="0" applyFont="1" applyFill="1" applyBorder="1"/>
    <xf numFmtId="0" fontId="0" fillId="17" borderId="0" xfId="0" applyFill="1" applyBorder="1"/>
    <xf numFmtId="0" fontId="28" fillId="23" borderId="0" xfId="0" applyFont="1" applyFill="1" applyBorder="1"/>
    <xf numFmtId="0" fontId="0" fillId="23" borderId="0" xfId="0" applyFill="1" applyBorder="1"/>
    <xf numFmtId="0" fontId="28" fillId="18" borderId="0" xfId="0" applyFont="1" applyFill="1" applyBorder="1"/>
    <xf numFmtId="0" fontId="2" fillId="18" borderId="0" xfId="0" applyFont="1" applyFill="1" applyBorder="1"/>
    <xf numFmtId="0" fontId="0" fillId="0" borderId="5" xfId="0" applyBorder="1" applyAlignment="1">
      <alignment horizontal="left"/>
    </xf>
    <xf numFmtId="0" fontId="0" fillId="0" borderId="7" xfId="0" applyBorder="1" applyAlignment="1">
      <alignment horizontal="left"/>
    </xf>
    <xf numFmtId="0" fontId="0" fillId="21" borderId="0" xfId="0" applyFill="1" applyBorder="1"/>
    <xf numFmtId="0" fontId="35" fillId="21" borderId="3" xfId="0" applyFont="1" applyFill="1" applyBorder="1"/>
    <xf numFmtId="0" fontId="35" fillId="21" borderId="8" xfId="0" applyFont="1" applyFill="1" applyBorder="1"/>
    <xf numFmtId="0" fontId="35" fillId="21" borderId="7" xfId="0" applyFont="1" applyFill="1" applyBorder="1"/>
    <xf numFmtId="165" fontId="0" fillId="35" borderId="11" xfId="0" applyNumberFormat="1" applyFill="1" applyBorder="1"/>
    <xf numFmtId="0" fontId="35" fillId="0" borderId="0" xfId="0" applyFont="1"/>
    <xf numFmtId="0" fontId="58" fillId="0" borderId="0" xfId="0" applyFont="1"/>
    <xf numFmtId="0" fontId="0" fillId="37" borderId="0" xfId="0" applyFill="1"/>
    <xf numFmtId="0" fontId="57" fillId="16" borderId="5" xfId="0" applyFont="1" applyFill="1" applyBorder="1" applyAlignment="1">
      <alignment horizontal="center"/>
    </xf>
    <xf numFmtId="0" fontId="28" fillId="16" borderId="0" xfId="0" applyFont="1" applyFill="1" applyBorder="1"/>
    <xf numFmtId="0" fontId="0" fillId="0" borderId="19" xfId="0" applyBorder="1"/>
    <xf numFmtId="0" fontId="0" fillId="0" borderId="3" xfId="0" applyBorder="1" applyAlignment="1">
      <alignment horizontal="right"/>
    </xf>
    <xf numFmtId="0" fontId="0" fillId="0" borderId="0" xfId="0" applyBorder="1" applyAlignment="1">
      <alignment horizontal="left"/>
    </xf>
    <xf numFmtId="0" fontId="0" fillId="0" borderId="0" xfId="0" applyFill="1" applyBorder="1"/>
    <xf numFmtId="0" fontId="0" fillId="0" borderId="6" xfId="0" applyFill="1" applyBorder="1"/>
    <xf numFmtId="0" fontId="3" fillId="0" borderId="0" xfId="0" applyFont="1" applyFill="1" applyBorder="1"/>
    <xf numFmtId="0" fontId="0" fillId="21" borderId="8" xfId="0" applyFill="1" applyBorder="1"/>
    <xf numFmtId="0" fontId="0" fillId="15" borderId="5" xfId="0" applyFill="1" applyBorder="1" applyAlignment="1">
      <alignment horizontal="center"/>
    </xf>
    <xf numFmtId="0" fontId="0" fillId="22" borderId="5" xfId="0" applyFill="1" applyBorder="1" applyAlignment="1">
      <alignment horizontal="center"/>
    </xf>
    <xf numFmtId="0" fontId="0" fillId="17" borderId="5" xfId="0" applyFill="1" applyBorder="1" applyAlignment="1">
      <alignment horizontal="center"/>
    </xf>
    <xf numFmtId="0" fontId="0" fillId="23" borderId="5" xfId="0" applyFill="1" applyBorder="1" applyAlignment="1">
      <alignment horizontal="center"/>
    </xf>
    <xf numFmtId="0" fontId="39" fillId="2" borderId="5" xfId="0" applyFont="1" applyFill="1" applyBorder="1" applyAlignment="1">
      <alignment horizontal="center"/>
    </xf>
    <xf numFmtId="0" fontId="38" fillId="0" borderId="7" xfId="0" applyFont="1" applyBorder="1" applyAlignment="1">
      <alignment horizontal="center"/>
    </xf>
    <xf numFmtId="1" fontId="36" fillId="2" borderId="8" xfId="0" applyNumberFormat="1" applyFont="1" applyFill="1" applyBorder="1" applyAlignment="1">
      <alignment horizontal="center"/>
    </xf>
    <xf numFmtId="1" fontId="37" fillId="0" borderId="15" xfId="0" applyNumberFormat="1" applyFont="1" applyBorder="1" applyAlignment="1">
      <alignment horizontal="center"/>
    </xf>
    <xf numFmtId="0" fontId="0" fillId="0" borderId="15" xfId="0" applyBorder="1"/>
    <xf numFmtId="0" fontId="62" fillId="21" borderId="13" xfId="0" applyFont="1" applyFill="1" applyBorder="1"/>
    <xf numFmtId="1" fontId="53" fillId="0" borderId="0" xfId="0" applyNumberFormat="1" applyFont="1" applyBorder="1" applyAlignment="1">
      <alignment horizontal="left"/>
    </xf>
    <xf numFmtId="0" fontId="0" fillId="0" borderId="15" xfId="0" applyBorder="1" applyAlignment="1">
      <alignment horizontal="right"/>
    </xf>
    <xf numFmtId="0" fontId="0" fillId="0" borderId="0" xfId="0" applyBorder="1" applyAlignment="1">
      <alignment horizontal="right"/>
    </xf>
    <xf numFmtId="0" fontId="0" fillId="0" borderId="8" xfId="0" applyBorder="1" applyAlignment="1">
      <alignment horizontal="right"/>
    </xf>
    <xf numFmtId="0" fontId="35" fillId="2" borderId="2" xfId="0" applyFont="1" applyFill="1" applyBorder="1"/>
    <xf numFmtId="0" fontId="39" fillId="2" borderId="3" xfId="0" applyFont="1" applyFill="1" applyBorder="1" applyAlignment="1">
      <alignment horizontal="center"/>
    </xf>
    <xf numFmtId="0" fontId="39" fillId="2" borderId="3" xfId="0" applyFont="1" applyFill="1" applyBorder="1"/>
    <xf numFmtId="0" fontId="37" fillId="0" borderId="8" xfId="0" applyFont="1" applyBorder="1" applyAlignment="1">
      <alignment horizontal="left"/>
    </xf>
    <xf numFmtId="0" fontId="32" fillId="0" borderId="8" xfId="0" applyFont="1" applyBorder="1"/>
    <xf numFmtId="165" fontId="0" fillId="35" borderId="17" xfId="0" applyNumberFormat="1" applyFill="1" applyBorder="1"/>
    <xf numFmtId="165" fontId="0" fillId="0" borderId="11" xfId="0" applyNumberFormat="1" applyBorder="1"/>
    <xf numFmtId="1" fontId="0" fillId="0" borderId="17" xfId="0" applyNumberFormat="1" applyBorder="1"/>
    <xf numFmtId="0" fontId="1" fillId="38" borderId="18" xfId="0" applyFont="1" applyFill="1" applyBorder="1" applyAlignment="1">
      <alignment horizontal="left"/>
    </xf>
    <xf numFmtId="0" fontId="1" fillId="38" borderId="19" xfId="0" applyFont="1" applyFill="1" applyBorder="1"/>
    <xf numFmtId="1" fontId="28" fillId="38" borderId="17" xfId="0" applyNumberFormat="1" applyFont="1" applyFill="1" applyBorder="1"/>
    <xf numFmtId="0" fontId="2" fillId="0" borderId="0" xfId="0" applyFont="1" applyBorder="1"/>
    <xf numFmtId="0" fontId="1" fillId="38" borderId="21" xfId="0" applyFont="1" applyFill="1" applyBorder="1" applyAlignment="1">
      <alignment horizontal="left"/>
    </xf>
    <xf numFmtId="0" fontId="0" fillId="38" borderId="16" xfId="0" applyFill="1" applyBorder="1"/>
    <xf numFmtId="0" fontId="0" fillId="38" borderId="16" xfId="0" applyFill="1" applyBorder="1" applyAlignment="1">
      <alignment horizontal="center"/>
    </xf>
    <xf numFmtId="1" fontId="28" fillId="38" borderId="20" xfId="0" applyNumberFormat="1" applyFont="1" applyFill="1" applyBorder="1"/>
    <xf numFmtId="9" fontId="53" fillId="11" borderId="0" xfId="0" applyNumberFormat="1" applyFont="1" applyFill="1" applyBorder="1" applyAlignment="1">
      <alignment horizontal="right"/>
    </xf>
    <xf numFmtId="0" fontId="55" fillId="0" borderId="0" xfId="0" applyFont="1" applyBorder="1"/>
    <xf numFmtId="9" fontId="53" fillId="0" borderId="0" xfId="0" applyNumberFormat="1" applyFont="1" applyBorder="1"/>
    <xf numFmtId="0" fontId="12" fillId="0" borderId="8" xfId="0" applyFont="1" applyBorder="1"/>
    <xf numFmtId="9" fontId="13" fillId="0" borderId="8" xfId="0" applyNumberFormat="1" applyFont="1" applyBorder="1" applyAlignment="1">
      <alignment horizontal="right"/>
    </xf>
    <xf numFmtId="0" fontId="53" fillId="0" borderId="15" xfId="0" quotePrefix="1" applyFont="1" applyBorder="1"/>
    <xf numFmtId="0" fontId="48" fillId="10" borderId="0" xfId="0" applyFont="1" applyFill="1"/>
    <xf numFmtId="0" fontId="64" fillId="38" borderId="19" xfId="0" applyFont="1" applyFill="1" applyBorder="1"/>
    <xf numFmtId="0" fontId="0" fillId="0" borderId="16" xfId="0" applyBorder="1"/>
    <xf numFmtId="0" fontId="37" fillId="21" borderId="13" xfId="0" applyFont="1" applyFill="1" applyBorder="1" applyAlignment="1" applyProtection="1">
      <alignment vertical="top" wrapText="1"/>
      <protection locked="0"/>
    </xf>
    <xf numFmtId="0" fontId="35" fillId="21" borderId="0" xfId="0" applyFont="1" applyFill="1" applyBorder="1"/>
    <xf numFmtId="0" fontId="40" fillId="21" borderId="5" xfId="0" applyFont="1" applyFill="1" applyBorder="1"/>
    <xf numFmtId="0" fontId="66" fillId="37" borderId="16" xfId="0" applyFont="1" applyFill="1" applyBorder="1"/>
    <xf numFmtId="0" fontId="66" fillId="37" borderId="25" xfId="0" applyFont="1" applyFill="1" applyBorder="1"/>
    <xf numFmtId="0" fontId="66" fillId="37" borderId="26" xfId="0" applyFont="1" applyFill="1" applyBorder="1"/>
    <xf numFmtId="0" fontId="65" fillId="9" borderId="0" xfId="0" applyFont="1" applyFill="1" applyBorder="1"/>
    <xf numFmtId="0" fontId="0" fillId="9" borderId="6" xfId="0" applyFill="1" applyBorder="1"/>
    <xf numFmtId="0" fontId="65" fillId="9" borderId="8" xfId="0" applyFont="1" applyFill="1" applyBorder="1"/>
    <xf numFmtId="0" fontId="0" fillId="9" borderId="8" xfId="0" applyFill="1" applyBorder="1"/>
    <xf numFmtId="0" fontId="0" fillId="9" borderId="9" xfId="0" applyFill="1" applyBorder="1"/>
    <xf numFmtId="0" fontId="65" fillId="46" borderId="15" xfId="0" applyFont="1" applyFill="1" applyBorder="1"/>
    <xf numFmtId="0" fontId="0" fillId="46" borderId="15" xfId="0" applyFill="1" applyBorder="1"/>
    <xf numFmtId="0" fontId="0" fillId="46" borderId="14" xfId="0" applyFill="1" applyBorder="1"/>
    <xf numFmtId="0" fontId="0" fillId="0" borderId="2" xfId="0" applyBorder="1" applyAlignment="1">
      <alignment horizontal="left"/>
    </xf>
    <xf numFmtId="0" fontId="59" fillId="0" borderId="3" xfId="0" applyFont="1" applyBorder="1" applyAlignment="1">
      <alignment vertical="top"/>
    </xf>
    <xf numFmtId="0" fontId="60" fillId="0" borderId="7" xfId="0" applyFont="1" applyBorder="1" applyAlignment="1">
      <alignment horizontal="left"/>
    </xf>
    <xf numFmtId="0" fontId="60" fillId="0" borderId="8" xfId="0" applyFont="1" applyBorder="1"/>
    <xf numFmtId="0" fontId="61" fillId="0" borderId="8" xfId="0" applyFont="1" applyBorder="1" applyAlignment="1">
      <alignment horizontal="right"/>
    </xf>
    <xf numFmtId="0" fontId="0" fillId="0" borderId="10" xfId="0" applyBorder="1"/>
    <xf numFmtId="0" fontId="61" fillId="0" borderId="7" xfId="0" applyFont="1" applyBorder="1" applyAlignment="1">
      <alignment horizontal="center"/>
    </xf>
    <xf numFmtId="1" fontId="67" fillId="0" borderId="28" xfId="0" applyNumberFormat="1" applyFont="1" applyBorder="1" applyAlignment="1">
      <alignment horizontal="center"/>
    </xf>
    <xf numFmtId="0" fontId="69" fillId="0" borderId="0" xfId="0" applyFont="1" applyFill="1" applyAlignment="1">
      <alignment horizontal="center"/>
    </xf>
    <xf numFmtId="0" fontId="70" fillId="2" borderId="3" xfId="0" applyFont="1" applyFill="1" applyBorder="1"/>
    <xf numFmtId="0" fontId="69" fillId="0" borderId="3" xfId="0" applyFont="1" applyBorder="1"/>
    <xf numFmtId="0" fontId="71" fillId="0" borderId="0" xfId="0" applyFont="1" applyFill="1" applyAlignment="1">
      <alignment horizontal="center"/>
    </xf>
    <xf numFmtId="0" fontId="37" fillId="0" borderId="0" xfId="0" applyFont="1" applyBorder="1"/>
    <xf numFmtId="0" fontId="53" fillId="0" borderId="0" xfId="0" quotePrefix="1" applyFont="1" applyBorder="1" applyAlignment="1">
      <alignment horizontal="right"/>
    </xf>
    <xf numFmtId="0" fontId="72" fillId="10" borderId="0" xfId="0" applyFont="1" applyFill="1" applyBorder="1" applyAlignment="1">
      <alignment vertical="top"/>
    </xf>
    <xf numFmtId="0" fontId="73" fillId="15" borderId="0" xfId="0" applyFont="1" applyFill="1" applyBorder="1" applyAlignment="1" applyProtection="1">
      <alignment vertical="top" wrapText="1"/>
      <protection locked="0"/>
    </xf>
    <xf numFmtId="0" fontId="37" fillId="16" borderId="0" xfId="0" applyFont="1" applyFill="1" applyBorder="1" applyAlignment="1" applyProtection="1">
      <alignment vertical="top" wrapText="1"/>
      <protection locked="0"/>
    </xf>
    <xf numFmtId="0" fontId="37" fillId="31" borderId="0" xfId="0" applyFont="1" applyFill="1" applyBorder="1" applyAlignment="1" applyProtection="1">
      <alignment vertical="top" wrapText="1"/>
      <protection locked="0"/>
    </xf>
    <xf numFmtId="0" fontId="37" fillId="17" borderId="0" xfId="0" applyFont="1" applyFill="1" applyBorder="1" applyAlignment="1" applyProtection="1">
      <alignment vertical="top" wrapText="1"/>
      <protection locked="0"/>
    </xf>
    <xf numFmtId="0" fontId="37" fillId="23" borderId="0" xfId="0" applyFont="1" applyFill="1" applyBorder="1" applyAlignment="1" applyProtection="1">
      <alignment vertical="top" wrapText="1"/>
      <protection locked="0"/>
    </xf>
    <xf numFmtId="0" fontId="37" fillId="18" borderId="0" xfId="0" applyFont="1" applyFill="1" applyBorder="1" applyAlignment="1" applyProtection="1">
      <alignment vertical="top" wrapText="1"/>
      <protection locked="0"/>
    </xf>
    <xf numFmtId="0" fontId="58" fillId="32" borderId="0" xfId="0" applyFont="1" applyFill="1" applyBorder="1"/>
    <xf numFmtId="9" fontId="13" fillId="35" borderId="5" xfId="0" applyNumberFormat="1" applyFont="1" applyFill="1" applyBorder="1" applyAlignment="1">
      <alignment horizontal="center"/>
    </xf>
    <xf numFmtId="9" fontId="74" fillId="0" borderId="5" xfId="0" applyNumberFormat="1" applyFont="1" applyBorder="1" applyAlignment="1">
      <alignment horizontal="center"/>
    </xf>
    <xf numFmtId="9" fontId="74" fillId="0" borderId="18" xfId="0" applyNumberFormat="1" applyFont="1" applyBorder="1" applyAlignment="1">
      <alignment horizontal="center"/>
    </xf>
    <xf numFmtId="9" fontId="60" fillId="38" borderId="18" xfId="0" applyNumberFormat="1" applyFont="1" applyFill="1" applyBorder="1"/>
    <xf numFmtId="9" fontId="13" fillId="0" borderId="18" xfId="0" applyNumberFormat="1" applyFont="1" applyBorder="1"/>
    <xf numFmtId="0" fontId="75" fillId="10" borderId="0" xfId="0" applyFont="1" applyFill="1" applyBorder="1"/>
    <xf numFmtId="0" fontId="75" fillId="15" borderId="0" xfId="0" applyFont="1" applyFill="1" applyBorder="1"/>
    <xf numFmtId="0" fontId="75" fillId="16" borderId="0" xfId="0" applyFont="1" applyFill="1" applyBorder="1"/>
    <xf numFmtId="0" fontId="75" fillId="36" borderId="0" xfId="0" applyFont="1" applyFill="1" applyBorder="1"/>
    <xf numFmtId="0" fontId="75" fillId="17" borderId="0" xfId="0" applyFont="1" applyFill="1" applyBorder="1"/>
    <xf numFmtId="0" fontId="75" fillId="23" borderId="0" xfId="0" applyFont="1" applyFill="1" applyBorder="1"/>
    <xf numFmtId="0" fontId="75" fillId="18" borderId="0" xfId="0" applyFont="1" applyFill="1" applyBorder="1"/>
    <xf numFmtId="0" fontId="76" fillId="38" borderId="19" xfId="0" applyFont="1" applyFill="1" applyBorder="1"/>
    <xf numFmtId="0" fontId="29" fillId="0" borderId="0" xfId="0" applyFont="1" applyBorder="1"/>
    <xf numFmtId="0" fontId="58" fillId="0" borderId="0" xfId="0" applyFont="1" applyBorder="1" applyAlignment="1">
      <alignment horizontal="center"/>
    </xf>
    <xf numFmtId="0" fontId="0" fillId="16" borderId="13" xfId="0" applyFont="1" applyFill="1" applyBorder="1" applyAlignment="1" applyProtection="1">
      <alignment vertical="top" wrapText="1"/>
      <protection locked="0"/>
    </xf>
    <xf numFmtId="0" fontId="0" fillId="31" borderId="13" xfId="0" applyFont="1" applyFill="1" applyBorder="1" applyAlignment="1" applyProtection="1">
      <alignment vertical="top" wrapText="1"/>
      <protection locked="0"/>
    </xf>
    <xf numFmtId="0" fontId="0" fillId="17" borderId="13" xfId="0" applyFont="1" applyFill="1" applyBorder="1" applyAlignment="1" applyProtection="1">
      <alignment vertical="top" wrapText="1"/>
      <protection locked="0"/>
    </xf>
    <xf numFmtId="0" fontId="0" fillId="23" borderId="13" xfId="0" applyFont="1" applyFill="1" applyBorder="1" applyAlignment="1" applyProtection="1">
      <alignment vertical="top" wrapText="1"/>
      <protection locked="0"/>
    </xf>
    <xf numFmtId="0" fontId="0" fillId="18" borderId="13" xfId="0" applyFont="1" applyFill="1" applyBorder="1" applyAlignment="1" applyProtection="1">
      <alignment vertical="top" wrapText="1"/>
      <protection locked="0"/>
    </xf>
    <xf numFmtId="0" fontId="58" fillId="0" borderId="8" xfId="0" applyFont="1" applyBorder="1" applyAlignment="1">
      <alignment horizontal="center"/>
    </xf>
    <xf numFmtId="0" fontId="0" fillId="0" borderId="31" xfId="0" applyBorder="1"/>
    <xf numFmtId="0" fontId="79" fillId="24" borderId="5" xfId="0" applyFont="1" applyFill="1" applyBorder="1" applyAlignment="1">
      <alignment horizontal="center"/>
    </xf>
    <xf numFmtId="0" fontId="79" fillId="13" borderId="5" xfId="0" applyFont="1" applyFill="1" applyBorder="1" applyAlignment="1">
      <alignment horizontal="center"/>
    </xf>
    <xf numFmtId="0" fontId="0" fillId="10" borderId="5" xfId="0" applyFill="1" applyBorder="1" applyAlignment="1">
      <alignment horizontal="center"/>
    </xf>
    <xf numFmtId="9" fontId="0" fillId="45" borderId="22" xfId="0" applyNumberFormat="1" applyFill="1" applyBorder="1"/>
    <xf numFmtId="9" fontId="0" fillId="9" borderId="23" xfId="0" applyNumberFormat="1" applyFill="1" applyBorder="1"/>
    <xf numFmtId="9" fontId="0" fillId="42" borderId="24" xfId="0" applyNumberFormat="1" applyFill="1" applyBorder="1"/>
    <xf numFmtId="0" fontId="0" fillId="0" borderId="30" xfId="0" applyBorder="1"/>
    <xf numFmtId="0" fontId="0" fillId="0" borderId="39" xfId="0" applyBorder="1"/>
    <xf numFmtId="0" fontId="0" fillId="0" borderId="33" xfId="0" applyBorder="1"/>
    <xf numFmtId="0" fontId="49" fillId="0" borderId="31" xfId="0" applyFont="1" applyBorder="1"/>
    <xf numFmtId="0" fontId="49" fillId="10" borderId="31" xfId="0" applyFont="1" applyFill="1" applyBorder="1"/>
    <xf numFmtId="0" fontId="49" fillId="10" borderId="32" xfId="0" applyFont="1" applyFill="1" applyBorder="1"/>
    <xf numFmtId="0" fontId="49" fillId="0" borderId="0" xfId="0" applyFont="1" applyBorder="1"/>
    <xf numFmtId="0" fontId="49" fillId="10" borderId="0" xfId="0" applyFont="1" applyFill="1" applyBorder="1"/>
    <xf numFmtId="0" fontId="49" fillId="10" borderId="40" xfId="0" applyFont="1" applyFill="1" applyBorder="1"/>
    <xf numFmtId="1" fontId="49" fillId="10" borderId="0" xfId="0" applyNumberFormat="1" applyFont="1" applyFill="1" applyBorder="1"/>
    <xf numFmtId="1" fontId="49" fillId="10" borderId="40" xfId="0" applyNumberFormat="1" applyFont="1" applyFill="1" applyBorder="1"/>
    <xf numFmtId="0" fontId="49" fillId="0" borderId="19" xfId="0" applyFont="1" applyBorder="1"/>
    <xf numFmtId="0" fontId="49" fillId="10" borderId="19" xfId="0" applyFont="1" applyFill="1" applyBorder="1"/>
    <xf numFmtId="0" fontId="49" fillId="10" borderId="34" xfId="0" applyFont="1" applyFill="1" applyBorder="1"/>
    <xf numFmtId="0" fontId="0" fillId="0" borderId="32" xfId="0" applyBorder="1"/>
    <xf numFmtId="0" fontId="0" fillId="0" borderId="40" xfId="0" applyBorder="1"/>
    <xf numFmtId="0" fontId="0" fillId="0" borderId="34" xfId="0" applyBorder="1"/>
    <xf numFmtId="0" fontId="0" fillId="0" borderId="30" xfId="0" applyFill="1" applyBorder="1"/>
    <xf numFmtId="0" fontId="0" fillId="0" borderId="33" xfId="0" applyFill="1" applyBorder="1"/>
    <xf numFmtId="0" fontId="35" fillId="21" borderId="0" xfId="0" quotePrefix="1" applyFont="1" applyFill="1" applyBorder="1" applyAlignment="1">
      <alignment horizontal="left"/>
    </xf>
    <xf numFmtId="0" fontId="35" fillId="0" borderId="0" xfId="0" applyFont="1" applyBorder="1"/>
    <xf numFmtId="0" fontId="53" fillId="0" borderId="0" xfId="0" applyFont="1" applyFill="1" applyBorder="1"/>
    <xf numFmtId="0" fontId="53" fillId="0" borderId="0" xfId="0" applyFont="1" applyBorder="1"/>
    <xf numFmtId="0" fontId="0" fillId="0" borderId="0" xfId="0" applyFont="1"/>
    <xf numFmtId="0" fontId="35" fillId="0" borderId="0" xfId="0" applyFont="1" applyFill="1" applyBorder="1" applyAlignment="1">
      <alignment horizontal="right"/>
    </xf>
    <xf numFmtId="0" fontId="2" fillId="0" borderId="0" xfId="0" applyFont="1" applyFill="1" applyBorder="1"/>
    <xf numFmtId="164" fontId="15" fillId="0" borderId="0" xfId="0" applyNumberFormat="1" applyFont="1" applyFill="1" applyBorder="1"/>
    <xf numFmtId="0" fontId="65" fillId="0" borderId="0" xfId="0" applyFont="1" applyBorder="1" applyAlignment="1">
      <alignment horizontal="right"/>
    </xf>
    <xf numFmtId="0" fontId="65" fillId="0" borderId="0" xfId="0" applyFont="1" applyBorder="1"/>
    <xf numFmtId="0" fontId="65" fillId="0" borderId="31" xfId="0" applyFont="1" applyBorder="1" applyAlignment="1">
      <alignment horizontal="right"/>
    </xf>
    <xf numFmtId="0" fontId="65" fillId="0" borderId="31" xfId="0" applyFont="1" applyBorder="1"/>
    <xf numFmtId="0" fontId="68" fillId="0" borderId="0" xfId="0" applyFont="1" applyBorder="1" applyAlignment="1">
      <alignment horizontal="left"/>
    </xf>
    <xf numFmtId="0" fontId="68" fillId="0" borderId="19" xfId="0" applyFont="1" applyBorder="1"/>
    <xf numFmtId="0" fontId="0" fillId="0" borderId="1" xfId="0" applyBorder="1" applyProtection="1">
      <protection locked="0"/>
    </xf>
    <xf numFmtId="0" fontId="0" fillId="0" borderId="0" xfId="0" applyProtection="1"/>
    <xf numFmtId="9" fontId="0" fillId="0" borderId="0" xfId="0" applyNumberFormat="1" applyProtection="1"/>
    <xf numFmtId="0" fontId="4" fillId="3" borderId="0" xfId="0" applyFont="1" applyFill="1" applyProtection="1"/>
    <xf numFmtId="0" fontId="23" fillId="0" borderId="0" xfId="0" applyFont="1" applyProtection="1"/>
    <xf numFmtId="0" fontId="22" fillId="4" borderId="0" xfId="0" applyFont="1" applyFill="1" applyProtection="1"/>
    <xf numFmtId="0" fontId="6" fillId="0" borderId="2" xfId="0" applyFont="1" applyBorder="1" applyAlignment="1" applyProtection="1">
      <alignment horizontal="right"/>
    </xf>
    <xf numFmtId="0" fontId="6" fillId="0" borderId="3" xfId="0" applyFont="1" applyBorder="1" applyAlignment="1" applyProtection="1">
      <alignment textRotation="90"/>
    </xf>
    <xf numFmtId="0" fontId="8" fillId="5" borderId="5" xfId="0" applyFont="1" applyFill="1" applyBorder="1" applyProtection="1"/>
    <xf numFmtId="164" fontId="11" fillId="5" borderId="0" xfId="0" applyNumberFormat="1" applyFont="1" applyFill="1" applyBorder="1" applyProtection="1"/>
    <xf numFmtId="9" fontId="5" fillId="5" borderId="5" xfId="0" applyNumberFormat="1" applyFont="1" applyFill="1" applyBorder="1" applyProtection="1"/>
    <xf numFmtId="9" fontId="10" fillId="5" borderId="0" xfId="0" applyNumberFormat="1" applyFont="1" applyFill="1" applyBorder="1" applyProtection="1"/>
    <xf numFmtId="0" fontId="7" fillId="3" borderId="5" xfId="0" applyFont="1" applyFill="1" applyBorder="1" applyProtection="1"/>
    <xf numFmtId="9" fontId="4" fillId="3" borderId="0" xfId="0" applyNumberFormat="1" applyFont="1" applyFill="1" applyBorder="1" applyProtection="1"/>
    <xf numFmtId="0" fontId="0" fillId="0" borderId="5" xfId="0" applyBorder="1" applyProtection="1"/>
    <xf numFmtId="9" fontId="18" fillId="8" borderId="0" xfId="0" applyNumberFormat="1" applyFont="1" applyFill="1" applyBorder="1" applyProtection="1"/>
    <xf numFmtId="0" fontId="0" fillId="0" borderId="7" xfId="0" applyBorder="1" applyProtection="1"/>
    <xf numFmtId="0" fontId="13" fillId="0" borderId="5" xfId="0" applyFont="1" applyFill="1" applyBorder="1" applyProtection="1"/>
    <xf numFmtId="0" fontId="6" fillId="0" borderId="0" xfId="0" applyFont="1" applyAlignment="1" applyProtection="1">
      <alignment horizontal="right"/>
    </xf>
    <xf numFmtId="0" fontId="6" fillId="0" borderId="0" xfId="0" applyFont="1" applyAlignment="1" applyProtection="1">
      <alignment textRotation="90"/>
    </xf>
    <xf numFmtId="0" fontId="6" fillId="40" borderId="0" xfId="0" applyFont="1" applyFill="1" applyAlignment="1" applyProtection="1">
      <alignment textRotation="90"/>
    </xf>
    <xf numFmtId="0" fontId="0" fillId="9" borderId="3" xfId="0" applyFill="1" applyBorder="1" applyProtection="1"/>
    <xf numFmtId="9" fontId="0" fillId="9" borderId="3" xfId="0" applyNumberFormat="1" applyFill="1" applyBorder="1" applyProtection="1"/>
    <xf numFmtId="0" fontId="0" fillId="9" borderId="0" xfId="0" applyFill="1" applyBorder="1" applyProtection="1"/>
    <xf numFmtId="9" fontId="0" fillId="9" borderId="0" xfId="0" applyNumberFormat="1" applyFill="1" applyBorder="1" applyProtection="1"/>
    <xf numFmtId="9" fontId="6" fillId="2" borderId="1" xfId="0" applyNumberFormat="1" applyFont="1" applyFill="1" applyBorder="1" applyProtection="1"/>
    <xf numFmtId="0" fontId="0" fillId="3" borderId="13" xfId="0" applyFill="1" applyBorder="1" applyProtection="1"/>
    <xf numFmtId="0" fontId="6" fillId="2" borderId="1" xfId="0" applyFont="1" applyFill="1" applyBorder="1" applyProtection="1"/>
    <xf numFmtId="0" fontId="0" fillId="3" borderId="1" xfId="0" applyFill="1" applyBorder="1" applyProtection="1"/>
    <xf numFmtId="0" fontId="0" fillId="0" borderId="0" xfId="0" applyBorder="1" applyProtection="1"/>
    <xf numFmtId="0" fontId="4" fillId="8" borderId="0" xfId="0" applyFont="1" applyFill="1" applyBorder="1" applyProtection="1"/>
    <xf numFmtId="0" fontId="0" fillId="8" borderId="0" xfId="0" quotePrefix="1" applyFill="1" applyProtection="1"/>
    <xf numFmtId="0" fontId="0" fillId="0" borderId="0" xfId="0" quotePrefix="1" applyProtection="1"/>
    <xf numFmtId="0" fontId="49" fillId="0" borderId="0" xfId="0" quotePrefix="1" applyFont="1" applyProtection="1"/>
    <xf numFmtId="0" fontId="6" fillId="0" borderId="8" xfId="0" applyFont="1" applyBorder="1" applyProtection="1"/>
    <xf numFmtId="0" fontId="4" fillId="8" borderId="8" xfId="0" applyFont="1" applyFill="1" applyBorder="1" applyProtection="1"/>
    <xf numFmtId="0" fontId="0" fillId="9" borderId="0" xfId="0" applyFill="1" applyProtection="1"/>
    <xf numFmtId="9" fontId="0" fillId="9" borderId="0" xfId="0" applyNumberFormat="1" applyFill="1" applyProtection="1"/>
    <xf numFmtId="0" fontId="0" fillId="3" borderId="0" xfId="0" applyFill="1" applyBorder="1" applyProtection="1"/>
    <xf numFmtId="0" fontId="0" fillId="41" borderId="0" xfId="0" applyFill="1" applyProtection="1"/>
    <xf numFmtId="9" fontId="3" fillId="0" borderId="0" xfId="0" applyNumberFormat="1" applyFont="1" applyProtection="1"/>
    <xf numFmtId="0" fontId="36" fillId="2" borderId="0" xfId="0" applyFont="1" applyFill="1" applyBorder="1" applyProtection="1"/>
    <xf numFmtId="0" fontId="2" fillId="2" borderId="0" xfId="0" applyFont="1" applyFill="1" applyProtection="1"/>
    <xf numFmtId="2" fontId="2" fillId="2" borderId="0" xfId="0" applyNumberFormat="1" applyFont="1" applyFill="1" applyAlignment="1" applyProtection="1">
      <alignment horizontal="left" readingOrder="1"/>
    </xf>
    <xf numFmtId="1" fontId="2" fillId="2" borderId="0" xfId="0" applyNumberFormat="1" applyFont="1" applyFill="1" applyAlignment="1" applyProtection="1">
      <alignment horizontal="left" readingOrder="1"/>
    </xf>
    <xf numFmtId="2" fontId="0" fillId="51" borderId="1" xfId="0" applyNumberFormat="1" applyFill="1" applyBorder="1" applyProtection="1">
      <protection locked="0"/>
    </xf>
    <xf numFmtId="2" fontId="0" fillId="4" borderId="1" xfId="0" applyNumberFormat="1" applyFill="1" applyBorder="1" applyProtection="1">
      <protection locked="0"/>
    </xf>
    <xf numFmtId="2" fontId="0" fillId="10" borderId="1" xfId="0" applyNumberFormat="1" applyFill="1" applyBorder="1" applyProtection="1">
      <protection locked="0"/>
    </xf>
    <xf numFmtId="0" fontId="0" fillId="4" borderId="0" xfId="0" applyFill="1"/>
    <xf numFmtId="0" fontId="1" fillId="9" borderId="0" xfId="0" applyFont="1" applyFill="1"/>
    <xf numFmtId="0" fontId="0" fillId="0" borderId="0" xfId="0" applyFont="1" applyBorder="1"/>
    <xf numFmtId="0" fontId="0" fillId="0" borderId="0" xfId="0" applyBorder="1" applyProtection="1">
      <protection locked="0"/>
    </xf>
    <xf numFmtId="0" fontId="0" fillId="48" borderId="11" xfId="0" applyFill="1" applyBorder="1" applyProtection="1">
      <protection locked="0"/>
    </xf>
    <xf numFmtId="0" fontId="83" fillId="10" borderId="1" xfId="0" applyFont="1" applyFill="1" applyBorder="1" applyAlignment="1" applyProtection="1">
      <alignment horizontal="center"/>
      <protection locked="0"/>
    </xf>
    <xf numFmtId="0" fontId="83" fillId="15" borderId="1" xfId="0" applyFont="1" applyFill="1" applyBorder="1" applyAlignment="1" applyProtection="1">
      <alignment horizontal="center"/>
      <protection locked="0"/>
    </xf>
    <xf numFmtId="0" fontId="83" fillId="16" borderId="1" xfId="0" applyFont="1" applyFill="1" applyBorder="1" applyAlignment="1" applyProtection="1">
      <alignment horizontal="center"/>
      <protection locked="0"/>
    </xf>
    <xf numFmtId="0" fontId="83" fillId="13" borderId="1" xfId="0" applyFont="1" applyFill="1" applyBorder="1" applyAlignment="1" applyProtection="1">
      <alignment horizontal="center"/>
      <protection locked="0"/>
    </xf>
    <xf numFmtId="0" fontId="83" fillId="17" borderId="1" xfId="0" applyFont="1" applyFill="1" applyBorder="1" applyAlignment="1" applyProtection="1">
      <alignment horizontal="center"/>
      <protection locked="0"/>
    </xf>
    <xf numFmtId="0" fontId="83" fillId="23" borderId="1" xfId="0" applyFont="1" applyFill="1" applyBorder="1" applyAlignment="1" applyProtection="1">
      <alignment horizontal="center"/>
      <protection locked="0"/>
    </xf>
    <xf numFmtId="0" fontId="83" fillId="18" borderId="1" xfId="0" applyFont="1" applyFill="1" applyBorder="1" applyAlignment="1" applyProtection="1">
      <alignment horizontal="center"/>
      <protection locked="0"/>
    </xf>
    <xf numFmtId="0" fontId="0" fillId="2" borderId="0" xfId="0" applyFill="1"/>
    <xf numFmtId="0" fontId="0" fillId="0" borderId="0" xfId="0" applyFill="1" applyProtection="1">
      <protection locked="0"/>
    </xf>
    <xf numFmtId="0" fontId="0" fillId="0" borderId="0" xfId="0" applyFill="1" applyBorder="1" applyProtection="1">
      <protection locked="0"/>
    </xf>
    <xf numFmtId="0" fontId="0" fillId="8" borderId="0" xfId="0" applyFill="1" applyProtection="1"/>
    <xf numFmtId="0" fontId="65" fillId="0" borderId="32" xfId="0" applyFont="1" applyFill="1" applyBorder="1" applyAlignment="1">
      <alignment horizontal="center"/>
    </xf>
    <xf numFmtId="0" fontId="33" fillId="0" borderId="0" xfId="0" applyFont="1"/>
    <xf numFmtId="0" fontId="33" fillId="0" borderId="0" xfId="0" applyFont="1" applyFill="1"/>
    <xf numFmtId="0" fontId="33" fillId="0" borderId="0" xfId="0" applyFont="1" applyAlignment="1">
      <alignment horizontal="right"/>
    </xf>
    <xf numFmtId="0" fontId="85" fillId="10" borderId="0" xfId="0" applyFont="1" applyFill="1"/>
    <xf numFmtId="0" fontId="86" fillId="0" borderId="0" xfId="0" applyFont="1" applyBorder="1"/>
    <xf numFmtId="0" fontId="86" fillId="10" borderId="0" xfId="0" applyFont="1" applyFill="1" applyBorder="1"/>
    <xf numFmtId="0" fontId="86" fillId="10" borderId="40" xfId="0" applyFont="1" applyFill="1" applyBorder="1"/>
    <xf numFmtId="0" fontId="65" fillId="0" borderId="40" xfId="0" applyFont="1" applyFill="1" applyBorder="1" applyAlignment="1">
      <alignment horizontal="center"/>
    </xf>
    <xf numFmtId="0" fontId="0" fillId="21" borderId="5" xfId="0" applyFill="1" applyBorder="1" applyAlignment="1">
      <alignment horizontal="center"/>
    </xf>
    <xf numFmtId="0" fontId="52" fillId="21" borderId="0" xfId="0" applyFont="1" applyFill="1" applyBorder="1"/>
    <xf numFmtId="0" fontId="52" fillId="55" borderId="0" xfId="0" applyFont="1" applyFill="1" applyBorder="1"/>
    <xf numFmtId="0" fontId="0" fillId="55" borderId="0" xfId="0" applyFill="1" applyBorder="1"/>
    <xf numFmtId="0" fontId="52" fillId="45" borderId="0" xfId="0" applyFont="1" applyFill="1" applyBorder="1"/>
    <xf numFmtId="0" fontId="0" fillId="45" borderId="0" xfId="0" applyFill="1" applyBorder="1"/>
    <xf numFmtId="0" fontId="52" fillId="8" borderId="0" xfId="0" applyFont="1" applyFill="1" applyBorder="1"/>
    <xf numFmtId="0" fontId="0" fillId="8" borderId="0" xfId="0" applyFill="1" applyBorder="1"/>
    <xf numFmtId="0" fontId="52" fillId="9" borderId="0" xfId="0" applyFont="1" applyFill="1" applyBorder="1"/>
    <xf numFmtId="0" fontId="52" fillId="40" borderId="0" xfId="0" applyFont="1" applyFill="1" applyBorder="1"/>
    <xf numFmtId="0" fontId="0" fillId="40" borderId="0" xfId="0" applyFill="1" applyBorder="1"/>
    <xf numFmtId="0" fontId="0" fillId="21" borderId="18" xfId="0" applyFill="1" applyBorder="1" applyAlignment="1">
      <alignment horizontal="center"/>
    </xf>
    <xf numFmtId="0" fontId="0" fillId="56" borderId="19" xfId="0" applyFill="1" applyBorder="1"/>
    <xf numFmtId="0" fontId="75" fillId="56" borderId="29" xfId="0" applyFont="1" applyFill="1" applyBorder="1" applyAlignment="1">
      <alignment horizontal="center"/>
    </xf>
    <xf numFmtId="0" fontId="52" fillId="56" borderId="41" xfId="0" applyFont="1" applyFill="1" applyBorder="1"/>
    <xf numFmtId="0" fontId="13" fillId="0" borderId="12" xfId="0" applyFont="1" applyBorder="1" applyAlignment="1">
      <alignment horizontal="right"/>
    </xf>
    <xf numFmtId="0" fontId="52" fillId="45" borderId="36" xfId="0" applyFont="1" applyFill="1" applyBorder="1" applyAlignment="1">
      <alignment horizontal="center"/>
    </xf>
    <xf numFmtId="0" fontId="52" fillId="9" borderId="37" xfId="0" applyFont="1" applyFill="1" applyBorder="1" applyAlignment="1">
      <alignment horizontal="center"/>
    </xf>
    <xf numFmtId="0" fontId="52" fillId="42" borderId="38" xfId="0" applyFont="1" applyFill="1" applyBorder="1" applyAlignment="1">
      <alignment horizontal="center"/>
    </xf>
    <xf numFmtId="0" fontId="0" fillId="0" borderId="30" xfId="0" applyFont="1" applyBorder="1"/>
    <xf numFmtId="0" fontId="0" fillId="0" borderId="31" xfId="0" applyBorder="1" applyProtection="1">
      <protection locked="0"/>
    </xf>
    <xf numFmtId="0" fontId="0" fillId="2" borderId="31" xfId="0" applyFill="1" applyBorder="1"/>
    <xf numFmtId="0" fontId="0" fillId="0" borderId="39" xfId="0" applyFont="1" applyBorder="1"/>
    <xf numFmtId="0" fontId="0" fillId="2" borderId="0" xfId="0" applyFill="1" applyBorder="1"/>
    <xf numFmtId="0" fontId="0" fillId="11" borderId="0" xfId="0" applyFill="1" applyBorder="1" applyProtection="1">
      <protection locked="0"/>
    </xf>
    <xf numFmtId="0" fontId="0" fillId="0" borderId="33" xfId="0" applyFont="1" applyBorder="1"/>
    <xf numFmtId="0" fontId="0" fillId="0" borderId="19" xfId="0" applyFill="1" applyBorder="1" applyProtection="1">
      <protection locked="0"/>
    </xf>
    <xf numFmtId="0" fontId="0" fillId="0" borderId="19" xfId="0" applyBorder="1" applyProtection="1">
      <protection locked="0"/>
    </xf>
    <xf numFmtId="0" fontId="0" fillId="2" borderId="19" xfId="0" applyFill="1" applyBorder="1"/>
    <xf numFmtId="0" fontId="0" fillId="0" borderId="37" xfId="0" applyBorder="1" applyProtection="1">
      <protection locked="0"/>
    </xf>
    <xf numFmtId="0" fontId="0" fillId="0" borderId="19" xfId="0" applyFont="1" applyBorder="1"/>
    <xf numFmtId="0" fontId="0" fillId="0" borderId="31" xfId="0" applyFont="1" applyBorder="1"/>
    <xf numFmtId="0" fontId="0" fillId="0" borderId="42" xfId="0" applyFont="1" applyBorder="1"/>
    <xf numFmtId="0" fontId="0" fillId="0" borderId="14" xfId="0" applyFont="1" applyBorder="1"/>
    <xf numFmtId="0" fontId="28" fillId="48" borderId="9" xfId="0" applyFont="1" applyFill="1" applyBorder="1" applyAlignment="1">
      <alignment vertical="top"/>
    </xf>
    <xf numFmtId="0" fontId="35" fillId="0" borderId="14" xfId="0" applyFont="1" applyFill="1" applyBorder="1"/>
    <xf numFmtId="0" fontId="28" fillId="10" borderId="14" xfId="0" applyFont="1" applyFill="1" applyBorder="1" applyAlignment="1">
      <alignment vertical="top"/>
    </xf>
    <xf numFmtId="0" fontId="28" fillId="15" borderId="14" xfId="0" applyFont="1" applyFill="1" applyBorder="1" applyAlignment="1">
      <alignment vertical="top"/>
    </xf>
    <xf numFmtId="0" fontId="28" fillId="16" borderId="14" xfId="0" applyFont="1" applyFill="1" applyBorder="1" applyAlignment="1">
      <alignment vertical="top"/>
    </xf>
    <xf numFmtId="0" fontId="28" fillId="13" borderId="14" xfId="0" applyFont="1" applyFill="1" applyBorder="1" applyAlignment="1">
      <alignment vertical="top"/>
    </xf>
    <xf numFmtId="0" fontId="28" fillId="17" borderId="14" xfId="0" applyFont="1" applyFill="1" applyBorder="1" applyAlignment="1">
      <alignment vertical="top"/>
    </xf>
    <xf numFmtId="0" fontId="28" fillId="23" borderId="14" xfId="0" applyFont="1" applyFill="1" applyBorder="1" applyAlignment="1">
      <alignment vertical="top"/>
    </xf>
    <xf numFmtId="0" fontId="2" fillId="18" borderId="14" xfId="0" applyFont="1" applyFill="1" applyBorder="1"/>
    <xf numFmtId="0" fontId="0" fillId="0" borderId="43" xfId="0" applyBorder="1"/>
    <xf numFmtId="0" fontId="0" fillId="0" borderId="44" xfId="0" applyBorder="1"/>
    <xf numFmtId="0" fontId="35" fillId="10" borderId="44" xfId="0" applyFont="1" applyFill="1" applyBorder="1"/>
    <xf numFmtId="0" fontId="35" fillId="49" borderId="44" xfId="0" applyFont="1" applyFill="1" applyBorder="1"/>
    <xf numFmtId="0" fontId="35" fillId="51" borderId="44" xfId="0" applyFont="1" applyFill="1" applyBorder="1"/>
    <xf numFmtId="0" fontId="35" fillId="43" borderId="44" xfId="0" applyFont="1" applyFill="1" applyBorder="1"/>
    <xf numFmtId="0" fontId="35" fillId="8" borderId="44" xfId="0" applyFont="1" applyFill="1" applyBorder="1"/>
    <xf numFmtId="0" fontId="35" fillId="7" borderId="44" xfId="0" applyFont="1" applyFill="1" applyBorder="1"/>
    <xf numFmtId="0" fontId="35" fillId="13" borderId="44" xfId="0" applyFont="1" applyFill="1" applyBorder="1"/>
    <xf numFmtId="0" fontId="12" fillId="0" borderId="44" xfId="0" applyFont="1" applyBorder="1"/>
    <xf numFmtId="0" fontId="35" fillId="17" borderId="44" xfId="0" applyFont="1" applyFill="1" applyBorder="1"/>
    <xf numFmtId="0" fontId="35" fillId="50" borderId="44" xfId="0" applyFont="1" applyFill="1" applyBorder="1"/>
    <xf numFmtId="0" fontId="35" fillId="23" borderId="44" xfId="0" applyFont="1" applyFill="1" applyBorder="1"/>
    <xf numFmtId="0" fontId="35" fillId="18" borderId="44" xfId="0" applyFont="1" applyFill="1" applyBorder="1"/>
    <xf numFmtId="0" fontId="0" fillId="0" borderId="45" xfId="0" applyBorder="1"/>
    <xf numFmtId="0" fontId="0" fillId="11" borderId="0" xfId="0" applyFont="1" applyFill="1" applyBorder="1"/>
    <xf numFmtId="0" fontId="0" fillId="43" borderId="44" xfId="0" applyFill="1" applyBorder="1"/>
    <xf numFmtId="0" fontId="0" fillId="4" borderId="44" xfId="0" applyFill="1" applyBorder="1"/>
    <xf numFmtId="0" fontId="0" fillId="10" borderId="44" xfId="0" applyFill="1" applyBorder="1"/>
    <xf numFmtId="0" fontId="35" fillId="20" borderId="3" xfId="0" applyFont="1" applyFill="1" applyBorder="1"/>
    <xf numFmtId="0" fontId="35" fillId="20" borderId="0" xfId="0" applyFont="1" applyFill="1" applyBorder="1" applyAlignment="1">
      <alignment wrapText="1"/>
    </xf>
    <xf numFmtId="0" fontId="2" fillId="32" borderId="0" xfId="0" applyFont="1" applyFill="1" applyBorder="1" applyAlignment="1">
      <alignment vertical="top"/>
    </xf>
    <xf numFmtId="0" fontId="2" fillId="10" borderId="6" xfId="0" applyFont="1" applyFill="1" applyBorder="1" applyAlignment="1">
      <alignment vertical="top"/>
    </xf>
    <xf numFmtId="0" fontId="2" fillId="15" borderId="0" xfId="0" applyFont="1" applyFill="1" applyBorder="1" applyAlignment="1">
      <alignment vertical="top"/>
    </xf>
    <xf numFmtId="0" fontId="2" fillId="16" borderId="0" xfId="0" applyFont="1" applyFill="1" applyBorder="1" applyAlignment="1">
      <alignment vertical="top"/>
    </xf>
    <xf numFmtId="0" fontId="2" fillId="31" borderId="0" xfId="0" applyFont="1" applyFill="1" applyBorder="1" applyAlignment="1">
      <alignment vertical="top"/>
    </xf>
    <xf numFmtId="0" fontId="2" fillId="17" borderId="0" xfId="0" applyFont="1" applyFill="1" applyBorder="1" applyAlignment="1">
      <alignment vertical="top"/>
    </xf>
    <xf numFmtId="0" fontId="2" fillId="23" borderId="0" xfId="0" applyFont="1" applyFill="1" applyBorder="1" applyAlignment="1">
      <alignment vertical="top"/>
    </xf>
    <xf numFmtId="0" fontId="2" fillId="18" borderId="0" xfId="0" applyFont="1" applyFill="1" applyBorder="1" applyAlignment="1">
      <alignment vertical="top"/>
    </xf>
    <xf numFmtId="0" fontId="21" fillId="0" borderId="1" xfId="0" applyFont="1" applyFill="1" applyBorder="1" applyAlignment="1">
      <alignment horizontal="center" vertical="top" wrapText="1"/>
    </xf>
    <xf numFmtId="0" fontId="0" fillId="0" borderId="1" xfId="0" applyFont="1" applyFill="1" applyBorder="1" applyAlignment="1">
      <alignment vertical="top" wrapText="1"/>
    </xf>
    <xf numFmtId="0" fontId="0" fillId="12" borderId="44" xfId="0" applyFill="1" applyBorder="1"/>
    <xf numFmtId="0" fontId="0" fillId="12" borderId="0" xfId="0" applyFill="1" applyBorder="1" applyProtection="1">
      <protection locked="0"/>
    </xf>
    <xf numFmtId="0" fontId="1" fillId="12" borderId="0" xfId="0" applyFont="1" applyFill="1" applyBorder="1"/>
    <xf numFmtId="0" fontId="1" fillId="11" borderId="0" xfId="0" applyFont="1" applyFill="1" applyBorder="1"/>
    <xf numFmtId="1" fontId="0" fillId="12" borderId="1" xfId="0" applyNumberFormat="1" applyFill="1" applyBorder="1" applyAlignment="1" applyProtection="1">
      <alignment horizontal="center"/>
      <protection locked="0"/>
    </xf>
    <xf numFmtId="1" fontId="0" fillId="42" borderId="1" xfId="0" applyNumberFormat="1" applyFill="1" applyBorder="1" applyAlignment="1" applyProtection="1">
      <alignment horizontal="center"/>
      <protection locked="0"/>
    </xf>
    <xf numFmtId="1" fontId="0" fillId="49" borderId="1" xfId="0" applyNumberFormat="1" applyFill="1" applyBorder="1" applyAlignment="1" applyProtection="1">
      <alignment horizontal="center"/>
      <protection locked="0"/>
    </xf>
    <xf numFmtId="1" fontId="0" fillId="39" borderId="1" xfId="0" applyNumberFormat="1" applyFill="1" applyBorder="1" applyAlignment="1" applyProtection="1">
      <alignment horizontal="center"/>
      <protection locked="0"/>
    </xf>
    <xf numFmtId="1" fontId="0" fillId="52" borderId="1" xfId="0" applyNumberFormat="1" applyFill="1" applyBorder="1" applyAlignment="1" applyProtection="1">
      <alignment horizontal="center"/>
      <protection locked="0"/>
    </xf>
    <xf numFmtId="1" fontId="0" fillId="53" borderId="1" xfId="0" applyNumberFormat="1" applyFill="1" applyBorder="1" applyAlignment="1" applyProtection="1">
      <alignment horizontal="center"/>
      <protection locked="0"/>
    </xf>
    <xf numFmtId="1" fontId="0" fillId="54" borderId="1" xfId="0" applyNumberFormat="1" applyFill="1" applyBorder="1" applyAlignment="1" applyProtection="1">
      <alignment horizontal="center"/>
      <protection locked="0"/>
    </xf>
    <xf numFmtId="0" fontId="1" fillId="0" borderId="1" xfId="0" applyFont="1" applyBorder="1" applyAlignment="1" applyProtection="1">
      <alignment horizontal="center"/>
      <protection locked="0"/>
    </xf>
    <xf numFmtId="0" fontId="0" fillId="11" borderId="0" xfId="0" applyFill="1" applyBorder="1" applyAlignment="1" applyProtection="1">
      <alignment horizontal="center"/>
      <protection locked="0"/>
    </xf>
    <xf numFmtId="9" fontId="0" fillId="0" borderId="1" xfId="0" applyNumberFormat="1" applyBorder="1" applyProtection="1">
      <protection locked="0"/>
    </xf>
    <xf numFmtId="1" fontId="0" fillId="0" borderId="1" xfId="0" applyNumberFormat="1" applyBorder="1" applyAlignment="1" applyProtection="1">
      <alignment horizontal="center"/>
      <protection locked="0"/>
    </xf>
    <xf numFmtId="9" fontId="0" fillId="0" borderId="1" xfId="0" applyNumberFormat="1" applyBorder="1" applyAlignment="1" applyProtection="1">
      <alignment horizontal="center"/>
      <protection locked="0"/>
    </xf>
    <xf numFmtId="0" fontId="91" fillId="20" borderId="4" xfId="0" quotePrefix="1" applyFont="1" applyFill="1" applyBorder="1" applyAlignment="1">
      <alignment wrapText="1"/>
    </xf>
    <xf numFmtId="0" fontId="1" fillId="21" borderId="15" xfId="0" applyFont="1" applyFill="1" applyBorder="1"/>
    <xf numFmtId="0" fontId="0" fillId="21" borderId="15" xfId="0" applyFill="1" applyBorder="1"/>
    <xf numFmtId="1" fontId="45" fillId="2" borderId="15" xfId="0" applyNumberFormat="1" applyFont="1" applyFill="1" applyBorder="1" applyAlignment="1">
      <alignment horizontal="center"/>
    </xf>
    <xf numFmtId="0" fontId="37" fillId="43" borderId="8" xfId="0" applyFont="1" applyFill="1" applyBorder="1"/>
    <xf numFmtId="0" fontId="37" fillId="44" borderId="8" xfId="0" applyFont="1" applyFill="1" applyBorder="1"/>
    <xf numFmtId="0" fontId="37" fillId="10" borderId="8" xfId="0" applyFont="1" applyFill="1" applyBorder="1"/>
    <xf numFmtId="0" fontId="68" fillId="46" borderId="15" xfId="0" applyFont="1" applyFill="1" applyBorder="1"/>
    <xf numFmtId="0" fontId="51" fillId="0" borderId="0" xfId="0" applyFont="1" applyBorder="1"/>
    <xf numFmtId="0" fontId="59" fillId="0" borderId="0" xfId="0" applyFont="1" applyBorder="1" applyAlignment="1">
      <alignment vertical="top"/>
    </xf>
    <xf numFmtId="0" fontId="0" fillId="21" borderId="0" xfId="0" applyFill="1" applyBorder="1" applyAlignment="1">
      <alignment horizontal="center"/>
    </xf>
    <xf numFmtId="0" fontId="78" fillId="0" borderId="6" xfId="0" applyFont="1" applyBorder="1" applyAlignment="1">
      <alignment horizontal="center"/>
    </xf>
    <xf numFmtId="0" fontId="80" fillId="0" borderId="6" xfId="0" applyFont="1" applyFill="1" applyBorder="1" applyAlignment="1">
      <alignment horizontal="center"/>
    </xf>
    <xf numFmtId="0" fontId="0" fillId="55" borderId="0" xfId="0" applyFill="1" applyBorder="1" applyAlignment="1">
      <alignment horizontal="center"/>
    </xf>
    <xf numFmtId="0" fontId="0" fillId="45" borderId="0" xfId="0" applyFill="1" applyBorder="1" applyAlignment="1">
      <alignment horizontal="center"/>
    </xf>
    <xf numFmtId="0" fontId="0" fillId="8" borderId="0" xfId="0" applyFill="1" applyBorder="1" applyAlignment="1">
      <alignment horizontal="center"/>
    </xf>
    <xf numFmtId="0" fontId="0" fillId="9" borderId="0" xfId="0" applyFill="1" applyBorder="1" applyAlignment="1">
      <alignment horizontal="center"/>
    </xf>
    <xf numFmtId="0" fontId="0" fillId="40" borderId="0" xfId="0" applyFill="1" applyBorder="1" applyAlignment="1">
      <alignment horizontal="center"/>
    </xf>
    <xf numFmtId="0" fontId="81" fillId="0" borderId="6" xfId="0" applyFont="1" applyBorder="1"/>
    <xf numFmtId="0" fontId="0" fillId="0" borderId="8" xfId="0" applyBorder="1" applyAlignment="1">
      <alignment horizontal="left"/>
    </xf>
    <xf numFmtId="0" fontId="2" fillId="0" borderId="8" xfId="0" applyFont="1" applyBorder="1"/>
    <xf numFmtId="0" fontId="2" fillId="0" borderId="8" xfId="0" applyFont="1" applyBorder="1" applyAlignment="1">
      <alignment horizontal="center"/>
    </xf>
    <xf numFmtId="0" fontId="0" fillId="43" borderId="14" xfId="0" applyFont="1" applyFill="1" applyBorder="1"/>
    <xf numFmtId="0" fontId="0" fillId="4" borderId="14" xfId="0" applyFont="1" applyFill="1" applyBorder="1"/>
    <xf numFmtId="0" fontId="0" fillId="10" borderId="14" xfId="0" applyFont="1" applyFill="1" applyBorder="1"/>
    <xf numFmtId="0" fontId="0" fillId="0" borderId="38" xfId="0" applyBorder="1" applyProtection="1">
      <protection locked="0"/>
    </xf>
    <xf numFmtId="0" fontId="0" fillId="0" borderId="46" xfId="0" applyBorder="1" applyProtection="1">
      <protection locked="0"/>
    </xf>
    <xf numFmtId="0" fontId="0" fillId="48" borderId="47" xfId="0" applyFill="1" applyBorder="1" applyProtection="1">
      <protection locked="0"/>
    </xf>
    <xf numFmtId="0" fontId="83" fillId="10" borderId="46" xfId="0" applyFont="1" applyFill="1" applyBorder="1" applyAlignment="1" applyProtection="1">
      <alignment horizontal="center"/>
      <protection locked="0"/>
    </xf>
    <xf numFmtId="0" fontId="83" fillId="15" borderId="46" xfId="0" applyFont="1" applyFill="1" applyBorder="1" applyAlignment="1" applyProtection="1">
      <alignment horizontal="center"/>
      <protection locked="0"/>
    </xf>
    <xf numFmtId="0" fontId="83" fillId="16" borderId="46" xfId="0" applyFont="1" applyFill="1" applyBorder="1" applyAlignment="1" applyProtection="1">
      <alignment horizontal="center"/>
      <protection locked="0"/>
    </xf>
    <xf numFmtId="0" fontId="83" fillId="13" borderId="46" xfId="0" applyFont="1" applyFill="1" applyBorder="1" applyAlignment="1" applyProtection="1">
      <alignment horizontal="center"/>
      <protection locked="0"/>
    </xf>
    <xf numFmtId="0" fontId="83" fillId="17" borderId="46" xfId="0" applyFont="1" applyFill="1" applyBorder="1" applyAlignment="1" applyProtection="1">
      <alignment horizontal="center"/>
      <protection locked="0"/>
    </xf>
    <xf numFmtId="0" fontId="83" fillId="23" borderId="46" xfId="0" applyFont="1" applyFill="1" applyBorder="1" applyAlignment="1" applyProtection="1">
      <alignment horizontal="center"/>
      <protection locked="0"/>
    </xf>
    <xf numFmtId="0" fontId="83" fillId="18" borderId="46" xfId="0" applyFont="1" applyFill="1" applyBorder="1" applyAlignment="1" applyProtection="1">
      <alignment horizontal="center"/>
      <protection locked="0"/>
    </xf>
    <xf numFmtId="0" fontId="0" fillId="0" borderId="40" xfId="0" applyBorder="1" applyProtection="1">
      <protection locked="0"/>
    </xf>
    <xf numFmtId="0" fontId="0" fillId="0" borderId="34" xfId="0" applyBorder="1" applyProtection="1">
      <protection locked="0"/>
    </xf>
    <xf numFmtId="0" fontId="0" fillId="0" borderId="32" xfId="0" applyBorder="1" applyProtection="1">
      <protection locked="0"/>
    </xf>
    <xf numFmtId="0" fontId="0" fillId="12" borderId="40" xfId="0" applyFill="1" applyBorder="1" applyProtection="1">
      <protection locked="0"/>
    </xf>
    <xf numFmtId="0" fontId="0" fillId="0" borderId="40" xfId="0" applyFill="1" applyBorder="1" applyProtection="1">
      <protection locked="0"/>
    </xf>
    <xf numFmtId="1" fontId="0" fillId="12" borderId="46" xfId="0" applyNumberFormat="1" applyFill="1" applyBorder="1" applyAlignment="1" applyProtection="1">
      <alignment horizontal="center"/>
      <protection locked="0"/>
    </xf>
    <xf numFmtId="1" fontId="0" fillId="42" borderId="46" xfId="0" applyNumberFormat="1" applyFill="1" applyBorder="1" applyAlignment="1" applyProtection="1">
      <alignment horizontal="center"/>
      <protection locked="0"/>
    </xf>
    <xf numFmtId="1" fontId="0" fillId="49" borderId="46" xfId="0" applyNumberFormat="1" applyFill="1" applyBorder="1" applyAlignment="1" applyProtection="1">
      <alignment horizontal="center"/>
      <protection locked="0"/>
    </xf>
    <xf numFmtId="1" fontId="0" fillId="39" borderId="46" xfId="0" applyNumberFormat="1" applyFill="1" applyBorder="1" applyAlignment="1" applyProtection="1">
      <alignment horizontal="center"/>
      <protection locked="0"/>
    </xf>
    <xf numFmtId="1" fontId="0" fillId="52" borderId="46" xfId="0" applyNumberFormat="1" applyFill="1" applyBorder="1" applyAlignment="1" applyProtection="1">
      <alignment horizontal="center"/>
      <protection locked="0"/>
    </xf>
    <xf numFmtId="1" fontId="0" fillId="53" borderId="46" xfId="0" applyNumberFormat="1" applyFill="1" applyBorder="1" applyAlignment="1" applyProtection="1">
      <alignment horizontal="center"/>
      <protection locked="0"/>
    </xf>
    <xf numFmtId="1" fontId="0" fillId="54" borderId="46" xfId="0" applyNumberFormat="1" applyFill="1" applyBorder="1" applyAlignment="1" applyProtection="1">
      <alignment horizontal="center"/>
      <protection locked="0"/>
    </xf>
    <xf numFmtId="0" fontId="1" fillId="0" borderId="46" xfId="0" applyFont="1" applyBorder="1" applyAlignment="1" applyProtection="1">
      <alignment horizontal="center"/>
      <protection locked="0"/>
    </xf>
    <xf numFmtId="2" fontId="0" fillId="51" borderId="46" xfId="0" applyNumberFormat="1" applyFill="1" applyBorder="1" applyProtection="1">
      <protection locked="0"/>
    </xf>
    <xf numFmtId="9" fontId="0" fillId="0" borderId="46" xfId="0" applyNumberFormat="1" applyBorder="1" applyProtection="1">
      <protection locked="0"/>
    </xf>
    <xf numFmtId="2" fontId="0" fillId="4" borderId="46" xfId="0" applyNumberFormat="1" applyFill="1" applyBorder="1" applyProtection="1">
      <protection locked="0"/>
    </xf>
    <xf numFmtId="2" fontId="0" fillId="10" borderId="46" xfId="0" applyNumberFormat="1" applyFill="1" applyBorder="1" applyProtection="1">
      <protection locked="0"/>
    </xf>
    <xf numFmtId="0" fontId="0" fillId="11" borderId="40" xfId="0" applyFill="1" applyBorder="1" applyProtection="1">
      <protection locked="0"/>
    </xf>
    <xf numFmtId="1" fontId="0" fillId="0" borderId="46" xfId="0" applyNumberFormat="1" applyBorder="1" applyAlignment="1" applyProtection="1">
      <alignment horizontal="center"/>
      <protection locked="0"/>
    </xf>
    <xf numFmtId="0" fontId="0" fillId="11" borderId="40" xfId="0" applyFill="1" applyBorder="1" applyAlignment="1" applyProtection="1">
      <alignment horizontal="center"/>
      <protection locked="0"/>
    </xf>
    <xf numFmtId="9" fontId="0" fillId="0" borderId="46" xfId="0" applyNumberFormat="1" applyBorder="1" applyAlignment="1" applyProtection="1">
      <alignment horizontal="center"/>
      <protection locked="0"/>
    </xf>
    <xf numFmtId="0" fontId="0" fillId="0" borderId="48" xfId="0" applyFont="1" applyBorder="1"/>
    <xf numFmtId="9" fontId="0" fillId="0" borderId="23" xfId="0" applyNumberFormat="1" applyBorder="1" applyAlignment="1" applyProtection="1">
      <alignment horizontal="center"/>
      <protection locked="0"/>
    </xf>
    <xf numFmtId="9" fontId="0" fillId="0" borderId="24" xfId="0" applyNumberFormat="1" applyBorder="1" applyAlignment="1" applyProtection="1">
      <alignment horizontal="center"/>
      <protection locked="0"/>
    </xf>
    <xf numFmtId="0" fontId="35" fillId="21" borderId="3" xfId="0" applyFont="1" applyFill="1" applyBorder="1" applyProtection="1">
      <protection locked="0"/>
    </xf>
    <xf numFmtId="0" fontId="35" fillId="21" borderId="0" xfId="0" applyFont="1" applyFill="1" applyBorder="1" applyProtection="1">
      <protection locked="0"/>
    </xf>
    <xf numFmtId="0" fontId="35" fillId="21" borderId="8" xfId="0" applyFont="1" applyFill="1" applyBorder="1" applyProtection="1">
      <protection locked="0"/>
    </xf>
    <xf numFmtId="0" fontId="36" fillId="0" borderId="1" xfId="0" applyFont="1" applyBorder="1" applyAlignment="1" applyProtection="1">
      <alignment horizontal="center"/>
      <protection locked="0"/>
    </xf>
    <xf numFmtId="0" fontId="36" fillId="0" borderId="46" xfId="0" applyFont="1" applyBorder="1" applyAlignment="1" applyProtection="1">
      <alignment horizontal="center"/>
      <protection locked="0"/>
    </xf>
    <xf numFmtId="0" fontId="92" fillId="20" borderId="6" xfId="0" applyFont="1" applyFill="1" applyBorder="1" applyAlignment="1">
      <alignment horizontal="left"/>
    </xf>
    <xf numFmtId="0" fontId="81" fillId="32" borderId="6" xfId="0" applyFont="1" applyFill="1" applyBorder="1" applyAlignment="1">
      <alignment vertical="top" wrapText="1"/>
    </xf>
    <xf numFmtId="0" fontId="81" fillId="0" borderId="1" xfId="0" applyFont="1" applyFill="1" applyBorder="1" applyAlignment="1" applyProtection="1">
      <alignment vertical="top" wrapText="1"/>
      <protection locked="0"/>
    </xf>
    <xf numFmtId="0" fontId="93" fillId="10" borderId="6" xfId="0" applyFont="1" applyFill="1" applyBorder="1" applyAlignment="1">
      <alignment vertical="top"/>
    </xf>
    <xf numFmtId="0" fontId="80" fillId="15" borderId="6" xfId="0" applyFont="1" applyFill="1" applyBorder="1" applyAlignment="1" applyProtection="1">
      <alignment vertical="top" wrapText="1"/>
      <protection locked="0"/>
    </xf>
    <xf numFmtId="0" fontId="81" fillId="16" borderId="6" xfId="0" applyFont="1" applyFill="1" applyBorder="1" applyAlignment="1" applyProtection="1">
      <alignment vertical="top" wrapText="1"/>
      <protection locked="0"/>
    </xf>
    <xf numFmtId="0" fontId="81" fillId="31" borderId="6" xfId="0" applyFont="1" applyFill="1" applyBorder="1" applyAlignment="1" applyProtection="1">
      <alignment vertical="top" wrapText="1"/>
      <protection locked="0"/>
    </xf>
    <xf numFmtId="0" fontId="81" fillId="17" borderId="6" xfId="0" applyFont="1" applyFill="1" applyBorder="1" applyAlignment="1" applyProtection="1">
      <alignment vertical="top" wrapText="1"/>
      <protection locked="0"/>
    </xf>
    <xf numFmtId="0" fontId="81" fillId="23" borderId="6" xfId="0" applyFont="1" applyFill="1" applyBorder="1" applyAlignment="1" applyProtection="1">
      <alignment vertical="top" wrapText="1"/>
      <protection locked="0"/>
    </xf>
    <xf numFmtId="0" fontId="81" fillId="18" borderId="6" xfId="0" applyFont="1" applyFill="1" applyBorder="1" applyAlignment="1" applyProtection="1">
      <alignment vertical="top" wrapText="1"/>
      <protection locked="0"/>
    </xf>
    <xf numFmtId="0" fontId="96" fillId="0" borderId="0" xfId="0" applyFont="1"/>
    <xf numFmtId="0" fontId="97" fillId="0" borderId="0" xfId="0" quotePrefix="1" applyFont="1"/>
    <xf numFmtId="0" fontId="97" fillId="0" borderId="0" xfId="0" applyFont="1"/>
    <xf numFmtId="0" fontId="96" fillId="0" borderId="0" xfId="0" quotePrefix="1" applyFont="1"/>
    <xf numFmtId="0" fontId="100" fillId="21" borderId="2" xfId="0" applyFont="1" applyFill="1" applyBorder="1"/>
    <xf numFmtId="0" fontId="1" fillId="0" borderId="1" xfId="0" applyFont="1" applyFill="1" applyBorder="1" applyAlignment="1">
      <alignment vertical="top" wrapText="1"/>
    </xf>
    <xf numFmtId="0" fontId="101" fillId="0" borderId="31" xfId="0" applyFont="1" applyFill="1" applyBorder="1"/>
    <xf numFmtId="0" fontId="3" fillId="19" borderId="1" xfId="0" applyFont="1" applyFill="1" applyBorder="1" applyAlignment="1">
      <alignment vertical="top"/>
    </xf>
    <xf numFmtId="0" fontId="3" fillId="19" borderId="50" xfId="0" applyFont="1" applyFill="1" applyBorder="1" applyAlignment="1">
      <alignment vertical="top"/>
    </xf>
    <xf numFmtId="0" fontId="43" fillId="19" borderId="51" xfId="0" quotePrefix="1" applyFont="1" applyFill="1" applyBorder="1" applyAlignment="1">
      <alignment horizontal="left"/>
    </xf>
    <xf numFmtId="0" fontId="3" fillId="19" borderId="52" xfId="0" applyFont="1" applyFill="1" applyBorder="1" applyAlignment="1">
      <alignment vertical="top"/>
    </xf>
    <xf numFmtId="0" fontId="33" fillId="0" borderId="0" xfId="0" applyFont="1" applyBorder="1"/>
    <xf numFmtId="0" fontId="3" fillId="19" borderId="53" xfId="0" applyFont="1" applyFill="1" applyBorder="1" applyAlignment="1">
      <alignment vertical="top"/>
    </xf>
    <xf numFmtId="0" fontId="84" fillId="0" borderId="0" xfId="0" applyFont="1" applyBorder="1"/>
    <xf numFmtId="0" fontId="28" fillId="48" borderId="5" xfId="0" applyFont="1" applyFill="1" applyBorder="1" applyAlignment="1">
      <alignment horizontal="center" vertical="top" wrapText="1"/>
    </xf>
    <xf numFmtId="0" fontId="28" fillId="48" borderId="0" xfId="0" applyFont="1" applyFill="1" applyBorder="1" applyAlignment="1">
      <alignment vertical="top"/>
    </xf>
    <xf numFmtId="0" fontId="7" fillId="48" borderId="0" xfId="0" applyFont="1" applyFill="1" applyBorder="1" applyAlignment="1">
      <alignment vertical="top" wrapText="1"/>
    </xf>
    <xf numFmtId="0" fontId="0" fillId="48" borderId="0" xfId="0" applyFill="1" applyBorder="1" applyAlignment="1">
      <alignment vertical="top" wrapText="1"/>
    </xf>
    <xf numFmtId="0" fontId="0" fillId="48" borderId="13" xfId="0" applyFill="1" applyBorder="1" applyAlignment="1">
      <alignment vertical="top" wrapText="1"/>
    </xf>
    <xf numFmtId="0" fontId="79" fillId="48" borderId="5" xfId="0" applyFont="1" applyFill="1" applyBorder="1" applyAlignment="1">
      <alignment horizontal="center"/>
    </xf>
    <xf numFmtId="0" fontId="21" fillId="0" borderId="2" xfId="0" applyFont="1" applyFill="1" applyBorder="1"/>
    <xf numFmtId="0" fontId="21" fillId="0" borderId="3" xfId="0" applyFont="1" applyFill="1" applyBorder="1"/>
    <xf numFmtId="0" fontId="42" fillId="0" borderId="3" xfId="0" applyFont="1" applyFill="1" applyBorder="1" applyAlignment="1">
      <alignment wrapText="1"/>
    </xf>
    <xf numFmtId="0" fontId="0" fillId="0" borderId="3" xfId="0" applyFill="1" applyBorder="1"/>
    <xf numFmtId="0" fontId="12" fillId="0" borderId="3" xfId="0" applyFont="1" applyFill="1" applyBorder="1"/>
    <xf numFmtId="0" fontId="8" fillId="0" borderId="3" xfId="0" applyFont="1" applyFill="1" applyBorder="1"/>
    <xf numFmtId="164" fontId="20" fillId="0" borderId="3" xfId="0" applyNumberFormat="1" applyFont="1" applyFill="1" applyBorder="1"/>
    <xf numFmtId="0" fontId="47" fillId="0" borderId="3" xfId="0" applyFont="1" applyFill="1" applyBorder="1"/>
    <xf numFmtId="0" fontId="9" fillId="0" borderId="3" xfId="0" applyFont="1" applyFill="1" applyBorder="1"/>
    <xf numFmtId="0" fontId="1" fillId="0" borderId="3" xfId="0" applyFont="1" applyFill="1" applyBorder="1"/>
    <xf numFmtId="0" fontId="82" fillId="0" borderId="3" xfId="0" applyFont="1" applyFill="1" applyBorder="1"/>
    <xf numFmtId="9" fontId="43" fillId="0" borderId="5" xfId="0" applyNumberFormat="1" applyFont="1" applyFill="1" applyBorder="1"/>
    <xf numFmtId="0" fontId="21" fillId="0" borderId="0" xfId="0" applyFont="1" applyFill="1" applyBorder="1" applyAlignment="1">
      <alignment wrapText="1"/>
    </xf>
    <xf numFmtId="0" fontId="46" fillId="0" borderId="0" xfId="0" applyFont="1" applyFill="1" applyBorder="1" applyAlignment="1">
      <alignment horizontal="left"/>
    </xf>
    <xf numFmtId="0" fontId="12" fillId="0" borderId="0" xfId="0" applyFont="1" applyFill="1" applyBorder="1"/>
    <xf numFmtId="9" fontId="5" fillId="0" borderId="0" xfId="0" applyNumberFormat="1" applyFont="1" applyFill="1" applyBorder="1"/>
    <xf numFmtId="9" fontId="10" fillId="0" borderId="0" xfId="0" applyNumberFormat="1" applyFont="1" applyFill="1" applyBorder="1"/>
    <xf numFmtId="0" fontId="29" fillId="0" borderId="0" xfId="0" applyFont="1" applyFill="1" applyBorder="1"/>
    <xf numFmtId="0" fontId="0" fillId="0" borderId="0" xfId="0" applyFont="1" applyFill="1" applyBorder="1"/>
    <xf numFmtId="0" fontId="9" fillId="0" borderId="0" xfId="0" applyFont="1" applyFill="1" applyBorder="1"/>
    <xf numFmtId="0" fontId="0" fillId="0" borderId="0" xfId="0" applyFill="1" applyBorder="1" applyAlignment="1">
      <alignment wrapText="1"/>
    </xf>
    <xf numFmtId="0" fontId="0" fillId="0" borderId="0" xfId="0" applyFill="1" applyBorder="1" applyAlignment="1">
      <alignment horizontal="right"/>
    </xf>
    <xf numFmtId="1" fontId="37" fillId="21" borderId="0" xfId="0" applyNumberFormat="1" applyFont="1" applyFill="1" applyBorder="1" applyAlignment="1" applyProtection="1">
      <alignment horizontal="left"/>
      <protection locked="0"/>
    </xf>
    <xf numFmtId="1" fontId="37" fillId="21" borderId="8" xfId="0" applyNumberFormat="1" applyFont="1" applyFill="1" applyBorder="1" applyAlignment="1" applyProtection="1">
      <alignment horizontal="left"/>
      <protection locked="0"/>
    </xf>
    <xf numFmtId="0" fontId="35" fillId="0" borderId="3" xfId="0" applyFont="1" applyFill="1" applyBorder="1"/>
    <xf numFmtId="0" fontId="35" fillId="0" borderId="0" xfId="0" applyFont="1" applyFill="1" applyBorder="1"/>
    <xf numFmtId="0" fontId="35" fillId="0" borderId="7" xfId="0" applyFont="1" applyFill="1" applyBorder="1"/>
    <xf numFmtId="0" fontId="35" fillId="0" borderId="8" xfId="0" applyFont="1" applyFill="1" applyBorder="1"/>
    <xf numFmtId="0" fontId="37" fillId="0" borderId="0" xfId="0" quotePrefix="1" applyFont="1" applyFill="1" applyBorder="1"/>
    <xf numFmtId="0" fontId="0" fillId="0" borderId="54" xfId="0" applyBorder="1"/>
    <xf numFmtId="0" fontId="53" fillId="0" borderId="55" xfId="0" quotePrefix="1" applyFont="1" applyBorder="1"/>
    <xf numFmtId="0" fontId="0" fillId="0" borderId="55" xfId="0" applyBorder="1"/>
    <xf numFmtId="0" fontId="0" fillId="0" borderId="55" xfId="0" applyBorder="1" applyAlignment="1">
      <alignment horizontal="right"/>
    </xf>
    <xf numFmtId="0" fontId="37" fillId="0" borderId="59" xfId="0" applyFont="1" applyBorder="1"/>
    <xf numFmtId="0" fontId="0" fillId="0" borderId="59" xfId="0" applyBorder="1"/>
    <xf numFmtId="0" fontId="37" fillId="0" borderId="60" xfId="0" applyFont="1" applyBorder="1"/>
    <xf numFmtId="0" fontId="37" fillId="0" borderId="61" xfId="0" applyFont="1" applyBorder="1"/>
    <xf numFmtId="164" fontId="36" fillId="0" borderId="61" xfId="0" applyNumberFormat="1" applyFont="1" applyBorder="1" applyAlignment="1">
      <alignment horizontal="left"/>
    </xf>
    <xf numFmtId="0" fontId="0" fillId="0" borderId="61" xfId="0" applyBorder="1"/>
    <xf numFmtId="0" fontId="0" fillId="0" borderId="61" xfId="0" applyBorder="1" applyAlignment="1">
      <alignment horizontal="right"/>
    </xf>
    <xf numFmtId="0" fontId="1" fillId="0" borderId="55" xfId="0" applyFont="1" applyBorder="1"/>
    <xf numFmtId="0" fontId="37" fillId="0" borderId="0" xfId="0" applyFont="1" applyFill="1" applyBorder="1"/>
    <xf numFmtId="0" fontId="102" fillId="10" borderId="57" xfId="0" applyFont="1" applyFill="1" applyBorder="1"/>
    <xf numFmtId="0" fontId="102" fillId="44" borderId="57" xfId="0" applyFont="1" applyFill="1" applyBorder="1"/>
    <xf numFmtId="0" fontId="102" fillId="43" borderId="57" xfId="0" applyFont="1" applyFill="1" applyBorder="1"/>
    <xf numFmtId="0" fontId="53" fillId="43" borderId="0" xfId="0" applyFont="1" applyFill="1" applyBorder="1"/>
    <xf numFmtId="0" fontId="53" fillId="4" borderId="0" xfId="0" applyFont="1" applyFill="1" applyBorder="1"/>
    <xf numFmtId="0" fontId="53" fillId="10" borderId="0" xfId="0" applyFont="1" applyFill="1" applyBorder="1"/>
    <xf numFmtId="0" fontId="0" fillId="43" borderId="0" xfId="0" applyFill="1" applyBorder="1"/>
    <xf numFmtId="0" fontId="0" fillId="43" borderId="0" xfId="0" applyFill="1" applyBorder="1" applyAlignment="1">
      <alignment horizontal="right"/>
    </xf>
    <xf numFmtId="0" fontId="0" fillId="4" borderId="0" xfId="0" applyFill="1" applyBorder="1"/>
    <xf numFmtId="0" fontId="0" fillId="4" borderId="0" xfId="0" applyFill="1" applyBorder="1" applyAlignment="1">
      <alignment horizontal="right"/>
    </xf>
    <xf numFmtId="0" fontId="0" fillId="10" borderId="0" xfId="0" applyFill="1" applyBorder="1" applyAlignment="1">
      <alignment horizontal="right"/>
    </xf>
    <xf numFmtId="0" fontId="0" fillId="0" borderId="40" xfId="0" applyBorder="1" applyAlignment="1">
      <alignment horizontal="center"/>
    </xf>
    <xf numFmtId="0" fontId="33" fillId="0" borderId="0" xfId="0" applyFont="1" applyAlignment="1">
      <alignment horizontal="center"/>
    </xf>
    <xf numFmtId="0" fontId="2" fillId="0" borderId="0" xfId="0" applyFont="1" applyFill="1" applyAlignment="1">
      <alignment horizontal="center"/>
    </xf>
    <xf numFmtId="0" fontId="0" fillId="0" borderId="6" xfId="0" applyFill="1" applyBorder="1" applyAlignment="1">
      <alignment horizontal="center"/>
    </xf>
    <xf numFmtId="165" fontId="54" fillId="11" borderId="6" xfId="0" applyNumberFormat="1" applyFont="1" applyFill="1" applyBorder="1" applyAlignment="1">
      <alignment horizontal="center"/>
    </xf>
    <xf numFmtId="165" fontId="54" fillId="0" borderId="6" xfId="0" applyNumberFormat="1" applyFont="1" applyBorder="1" applyAlignment="1">
      <alignment horizontal="center"/>
    </xf>
    <xf numFmtId="165" fontId="54" fillId="0" borderId="9" xfId="0" applyNumberFormat="1" applyFont="1" applyBorder="1" applyAlignment="1">
      <alignment horizontal="center"/>
    </xf>
    <xf numFmtId="1" fontId="56" fillId="0" borderId="0" xfId="0" applyNumberFormat="1" applyFont="1" applyAlignment="1">
      <alignment horizontal="center"/>
    </xf>
    <xf numFmtId="0" fontId="0" fillId="0" borderId="14" xfId="0" applyBorder="1" applyAlignment="1">
      <alignment horizontal="center"/>
    </xf>
    <xf numFmtId="0" fontId="0" fillId="0" borderId="4" xfId="0" applyBorder="1" applyAlignment="1">
      <alignment horizontal="center"/>
    </xf>
    <xf numFmtId="0" fontId="0" fillId="0" borderId="6" xfId="0" applyBorder="1" applyAlignment="1">
      <alignment horizontal="center"/>
    </xf>
    <xf numFmtId="0" fontId="0" fillId="0" borderId="9" xfId="0" applyBorder="1" applyAlignment="1">
      <alignment horizontal="center"/>
    </xf>
    <xf numFmtId="0" fontId="69" fillId="0" borderId="4" xfId="0" quotePrefix="1" applyFont="1" applyBorder="1" applyAlignment="1">
      <alignment horizontal="center"/>
    </xf>
    <xf numFmtId="0" fontId="0" fillId="0" borderId="56" xfId="0" applyBorder="1" applyAlignment="1">
      <alignment horizontal="center"/>
    </xf>
    <xf numFmtId="0" fontId="0" fillId="43" borderId="58" xfId="0" applyFill="1" applyBorder="1" applyAlignment="1">
      <alignment horizontal="center"/>
    </xf>
    <xf numFmtId="9" fontId="53" fillId="0" borderId="58" xfId="0" applyNumberFormat="1" applyFont="1" applyFill="1" applyBorder="1" applyAlignment="1">
      <alignment horizontal="center"/>
    </xf>
    <xf numFmtId="9" fontId="36" fillId="0" borderId="58" xfId="0" applyNumberFormat="1" applyFont="1" applyBorder="1" applyAlignment="1">
      <alignment horizontal="center"/>
    </xf>
    <xf numFmtId="164" fontId="29" fillId="0" borderId="58" xfId="0" applyNumberFormat="1" applyFont="1" applyBorder="1" applyAlignment="1">
      <alignment horizontal="center"/>
    </xf>
    <xf numFmtId="0" fontId="0" fillId="4" borderId="58" xfId="0" applyFill="1" applyBorder="1" applyAlignment="1">
      <alignment horizontal="center"/>
    </xf>
    <xf numFmtId="0" fontId="0" fillId="10" borderId="58" xfId="0" applyFill="1" applyBorder="1" applyAlignment="1">
      <alignment horizontal="center"/>
    </xf>
    <xf numFmtId="9" fontId="53" fillId="0" borderId="58" xfId="0" applyNumberFormat="1" applyFont="1" applyBorder="1" applyAlignment="1">
      <alignment horizontal="center"/>
    </xf>
    <xf numFmtId="164" fontId="29" fillId="0" borderId="62" xfId="0" applyNumberFormat="1" applyFont="1" applyBorder="1" applyAlignment="1">
      <alignment horizontal="center"/>
    </xf>
    <xf numFmtId="9" fontId="29" fillId="0" borderId="0" xfId="0" applyNumberFormat="1" applyFont="1"/>
    <xf numFmtId="0" fontId="29" fillId="0" borderId="18" xfId="0" applyFont="1" applyBorder="1" applyAlignment="1">
      <alignment horizontal="left"/>
    </xf>
    <xf numFmtId="0" fontId="104" fillId="0" borderId="2" xfId="0" applyFont="1" applyFill="1" applyBorder="1"/>
    <xf numFmtId="0" fontId="105" fillId="0" borderId="5" xfId="0" applyFont="1" applyFill="1" applyBorder="1"/>
    <xf numFmtId="0" fontId="13" fillId="0" borderId="8" xfId="0" applyFont="1" applyBorder="1" applyAlignment="1">
      <alignment horizontal="right"/>
    </xf>
    <xf numFmtId="1" fontId="13" fillId="0" borderId="8" xfId="0" applyNumberFormat="1" applyFont="1" applyBorder="1"/>
    <xf numFmtId="1" fontId="29" fillId="0" borderId="3" xfId="0" applyNumberFormat="1" applyFont="1" applyFill="1" applyBorder="1"/>
    <xf numFmtId="0" fontId="106" fillId="38" borderId="0" xfId="0" applyFont="1" applyFill="1"/>
    <xf numFmtId="0" fontId="107" fillId="0" borderId="19" xfId="0" applyFont="1" applyFill="1" applyBorder="1"/>
    <xf numFmtId="0" fontId="1" fillId="0" borderId="0" xfId="0" quotePrefix="1" applyFont="1" applyFill="1" applyBorder="1" applyAlignment="1">
      <alignment vertical="top" wrapText="1"/>
    </xf>
    <xf numFmtId="0" fontId="52" fillId="57" borderId="0" xfId="0" applyFont="1" applyFill="1" applyBorder="1"/>
    <xf numFmtId="0" fontId="0" fillId="57" borderId="0" xfId="0" applyFill="1" applyBorder="1"/>
    <xf numFmtId="0" fontId="0" fillId="57" borderId="0" xfId="0" applyFill="1" applyBorder="1" applyAlignment="1">
      <alignment horizontal="center"/>
    </xf>
    <xf numFmtId="2" fontId="37" fillId="21" borderId="0" xfId="0" applyNumberFormat="1" applyFont="1" applyFill="1" applyBorder="1" applyAlignment="1" applyProtection="1">
      <alignment horizontal="left"/>
      <protection locked="0"/>
    </xf>
    <xf numFmtId="2" fontId="37" fillId="21" borderId="8" xfId="0" applyNumberFormat="1" applyFont="1" applyFill="1" applyBorder="1" applyAlignment="1" applyProtection="1">
      <alignment horizontal="left"/>
      <protection locked="0"/>
    </xf>
    <xf numFmtId="0" fontId="88" fillId="0" borderId="3" xfId="0" applyFont="1" applyFill="1" applyBorder="1"/>
    <xf numFmtId="0" fontId="89" fillId="0" borderId="3" xfId="0" applyFont="1" applyFill="1" applyBorder="1"/>
    <xf numFmtId="0" fontId="90" fillId="0" borderId="3" xfId="0" applyFont="1" applyFill="1" applyBorder="1"/>
    <xf numFmtId="0" fontId="87" fillId="0" borderId="3" xfId="0" applyFont="1" applyFill="1" applyBorder="1" applyAlignment="1">
      <alignment horizontal="right"/>
    </xf>
    <xf numFmtId="0" fontId="13" fillId="0" borderId="0" xfId="0" applyFont="1" applyProtection="1"/>
    <xf numFmtId="0" fontId="17" fillId="0" borderId="0" xfId="0" applyFont="1" applyFill="1" applyBorder="1"/>
    <xf numFmtId="164" fontId="2" fillId="0" borderId="0" xfId="0" applyNumberFormat="1" applyFont="1" applyFill="1" applyBorder="1" applyAlignment="1">
      <alignment vertical="center" wrapText="1"/>
    </xf>
    <xf numFmtId="0" fontId="2" fillId="0" borderId="0" xfId="0" applyFont="1" applyFill="1" applyBorder="1" applyAlignment="1">
      <alignment vertical="center" wrapText="1"/>
    </xf>
    <xf numFmtId="2" fontId="2" fillId="0" borderId="0" xfId="0" applyNumberFormat="1" applyFont="1" applyFill="1" applyBorder="1"/>
    <xf numFmtId="164" fontId="2" fillId="0" borderId="0" xfId="0" applyNumberFormat="1" applyFont="1" applyFill="1" applyBorder="1"/>
    <xf numFmtId="0" fontId="28" fillId="0" borderId="0" xfId="0" applyFont="1" applyFill="1" applyBorder="1"/>
    <xf numFmtId="0" fontId="28" fillId="0" borderId="0" xfId="0" applyFont="1" applyFill="1" applyBorder="1" applyAlignment="1">
      <alignment vertical="center" wrapText="1"/>
    </xf>
    <xf numFmtId="2" fontId="2" fillId="0" borderId="0" xfId="0" applyNumberFormat="1" applyFont="1" applyFill="1" applyBorder="1" applyAlignment="1">
      <alignment vertical="center" wrapText="1"/>
    </xf>
    <xf numFmtId="0" fontId="80" fillId="0" borderId="0" xfId="0" applyFont="1" applyFill="1" applyBorder="1" applyAlignment="1">
      <alignment horizontal="center" textRotation="180"/>
    </xf>
    <xf numFmtId="0" fontId="2" fillId="0" borderId="0" xfId="0" applyFont="1" applyFill="1" applyBorder="1" applyAlignment="1">
      <alignment horizontal="right"/>
    </xf>
    <xf numFmtId="1" fontId="2" fillId="0" borderId="0" xfId="0" applyNumberFormat="1" applyFont="1" applyFill="1" applyBorder="1" applyAlignment="1">
      <alignment horizontal="center"/>
    </xf>
    <xf numFmtId="1" fontId="28" fillId="0" borderId="0" xfId="0" applyNumberFormat="1" applyFont="1" applyFill="1" applyBorder="1" applyAlignment="1">
      <alignment horizontal="center"/>
    </xf>
    <xf numFmtId="0" fontId="0" fillId="47" borderId="1" xfId="0" quotePrefix="1" applyFill="1" applyBorder="1" applyProtection="1">
      <protection locked="0"/>
    </xf>
    <xf numFmtId="2" fontId="0" fillId="47" borderId="1" xfId="0" quotePrefix="1" applyNumberFormat="1" applyFill="1" applyBorder="1" applyProtection="1">
      <protection locked="0"/>
    </xf>
    <xf numFmtId="0" fontId="109" fillId="21" borderId="3" xfId="0" applyFont="1" applyFill="1" applyBorder="1"/>
    <xf numFmtId="1" fontId="0" fillId="47" borderId="1" xfId="0" quotePrefix="1" applyNumberFormat="1" applyFill="1" applyBorder="1" applyAlignment="1" applyProtection="1">
      <alignment horizontal="center"/>
      <protection locked="0"/>
    </xf>
    <xf numFmtId="2" fontId="0" fillId="47" borderId="1" xfId="0" quotePrefix="1" applyNumberFormat="1" applyFill="1" applyBorder="1" applyAlignment="1" applyProtection="1">
      <alignment horizontal="center"/>
      <protection locked="0"/>
    </xf>
    <xf numFmtId="9" fontId="0" fillId="47" borderId="1" xfId="0" quotePrefix="1" applyNumberFormat="1" applyFill="1" applyBorder="1" applyAlignment="1" applyProtection="1">
      <alignment horizontal="center"/>
      <protection locked="0"/>
    </xf>
    <xf numFmtId="0" fontId="0" fillId="47" borderId="1" xfId="0" quotePrefix="1" applyFill="1" applyBorder="1" applyAlignment="1" applyProtection="1">
      <alignment horizontal="left"/>
      <protection locked="0"/>
    </xf>
    <xf numFmtId="0" fontId="36" fillId="47" borderId="1" xfId="0" applyFont="1" applyFill="1" applyBorder="1" applyAlignment="1" applyProtection="1">
      <alignment horizontal="center"/>
      <protection locked="0"/>
    </xf>
    <xf numFmtId="9" fontId="0" fillId="47" borderId="23" xfId="0" quotePrefix="1" applyNumberFormat="1" applyFill="1" applyBorder="1" applyAlignment="1" applyProtection="1">
      <alignment horizontal="center"/>
      <protection locked="0"/>
    </xf>
    <xf numFmtId="0" fontId="35" fillId="37" borderId="44" xfId="0" applyFont="1" applyFill="1" applyBorder="1"/>
    <xf numFmtId="0" fontId="0" fillId="20" borderId="51" xfId="0" applyFill="1" applyBorder="1"/>
    <xf numFmtId="0" fontId="3" fillId="20" borderId="0" xfId="0" applyFont="1" applyFill="1" applyBorder="1" applyAlignment="1">
      <alignment vertical="top"/>
    </xf>
    <xf numFmtId="0" fontId="0" fillId="20" borderId="0" xfId="0" applyFill="1" applyBorder="1"/>
    <xf numFmtId="0" fontId="3" fillId="19" borderId="0" xfId="0" applyFont="1" applyFill="1" applyBorder="1" applyAlignment="1">
      <alignment vertical="top"/>
    </xf>
    <xf numFmtId="0" fontId="40" fillId="21" borderId="8" xfId="0" applyFont="1" applyFill="1" applyBorder="1"/>
    <xf numFmtId="0" fontId="0" fillId="0" borderId="0" xfId="0" applyFont="1" applyFill="1" applyBorder="1" applyAlignment="1">
      <alignment horizontal="right"/>
    </xf>
    <xf numFmtId="0" fontId="65" fillId="0" borderId="0" xfId="0" applyFont="1" applyFill="1" applyBorder="1"/>
    <xf numFmtId="0" fontId="68" fillId="0" borderId="0" xfId="0" applyFont="1" applyFill="1" applyBorder="1" applyAlignment="1">
      <alignment horizontal="right"/>
    </xf>
    <xf numFmtId="0" fontId="65" fillId="0" borderId="0" xfId="0" applyFont="1" applyFill="1" applyBorder="1" applyAlignment="1">
      <alignment horizontal="right"/>
    </xf>
    <xf numFmtId="0" fontId="65" fillId="0" borderId="19" xfId="0" applyFont="1" applyFill="1" applyBorder="1" applyAlignment="1">
      <alignment horizontal="right"/>
    </xf>
    <xf numFmtId="0" fontId="65" fillId="0" borderId="19" xfId="0" applyFont="1" applyFill="1" applyBorder="1"/>
    <xf numFmtId="0" fontId="0" fillId="0" borderId="40" xfId="0" applyFill="1" applyBorder="1"/>
    <xf numFmtId="0" fontId="0" fillId="0" borderId="39" xfId="0" applyFill="1" applyBorder="1"/>
    <xf numFmtId="0" fontId="1" fillId="0" borderId="0" xfId="0" applyFont="1" applyFill="1" applyBorder="1"/>
    <xf numFmtId="0" fontId="107" fillId="0" borderId="0" xfId="0" applyFont="1" applyFill="1" applyBorder="1"/>
    <xf numFmtId="0" fontId="68" fillId="0" borderId="31" xfId="0" applyFont="1" applyBorder="1" applyAlignment="1">
      <alignment horizontal="left"/>
    </xf>
    <xf numFmtId="0" fontId="3" fillId="19" borderId="64" xfId="0" applyFont="1" applyFill="1" applyBorder="1" applyAlignment="1">
      <alignment vertical="top"/>
    </xf>
    <xf numFmtId="0" fontId="0" fillId="0" borderId="31" xfId="0" applyFill="1" applyBorder="1"/>
    <xf numFmtId="0" fontId="3" fillId="19" borderId="65" xfId="0" applyFont="1" applyFill="1" applyBorder="1" applyAlignment="1">
      <alignment vertical="top"/>
    </xf>
    <xf numFmtId="0" fontId="0" fillId="0" borderId="19" xfId="0" applyFill="1" applyBorder="1"/>
    <xf numFmtId="0" fontId="1" fillId="0" borderId="19" xfId="0" applyFont="1" applyFill="1" applyBorder="1"/>
    <xf numFmtId="0" fontId="0" fillId="0" borderId="31" xfId="0" applyBorder="1" applyAlignment="1">
      <alignment horizontal="right"/>
    </xf>
    <xf numFmtId="0" fontId="0" fillId="0" borderId="32" xfId="0" applyBorder="1" applyAlignment="1">
      <alignment horizontal="center"/>
    </xf>
    <xf numFmtId="0" fontId="65" fillId="0" borderId="40" xfId="0" applyFont="1" applyFill="1" applyBorder="1" applyAlignment="1">
      <alignment horizontal="left"/>
    </xf>
    <xf numFmtId="9" fontId="68" fillId="0" borderId="40" xfId="0" quotePrefix="1" applyNumberFormat="1" applyFont="1" applyFill="1" applyBorder="1" applyAlignment="1">
      <alignment horizontal="left"/>
    </xf>
    <xf numFmtId="9" fontId="68" fillId="0" borderId="34" xfId="0" quotePrefix="1" applyNumberFormat="1" applyFont="1" applyFill="1" applyBorder="1" applyAlignment="1">
      <alignment horizontal="left"/>
    </xf>
    <xf numFmtId="0" fontId="65" fillId="0" borderId="40" xfId="0" applyFont="1" applyBorder="1" applyAlignment="1">
      <alignment horizontal="left"/>
    </xf>
    <xf numFmtId="0" fontId="111" fillId="0" borderId="0" xfId="0" applyFont="1"/>
    <xf numFmtId="0" fontId="112" fillId="0" borderId="0" xfId="0" quotePrefix="1" applyFont="1"/>
    <xf numFmtId="0" fontId="112" fillId="0" borderId="0" xfId="0" applyFont="1"/>
    <xf numFmtId="0" fontId="67" fillId="0" borderId="35" xfId="0" applyFont="1" applyBorder="1" applyAlignment="1">
      <alignment horizontal="center" wrapText="1"/>
    </xf>
    <xf numFmtId="1" fontId="114" fillId="0" borderId="0" xfId="0" applyNumberFormat="1" applyFont="1" applyAlignment="1">
      <alignment horizontal="left"/>
    </xf>
    <xf numFmtId="1" fontId="114" fillId="0" borderId="0" xfId="0" applyNumberFormat="1" applyFont="1" applyAlignment="1">
      <alignment horizontal="center"/>
    </xf>
    <xf numFmtId="0" fontId="0" fillId="58" borderId="0" xfId="0" applyFill="1"/>
    <xf numFmtId="0" fontId="3" fillId="0" borderId="1" xfId="0" applyFont="1" applyFill="1" applyBorder="1" applyAlignment="1">
      <alignment vertical="top"/>
    </xf>
    <xf numFmtId="0" fontId="0" fillId="0" borderId="13" xfId="0" applyFont="1" applyFill="1" applyBorder="1"/>
    <xf numFmtId="0" fontId="0" fillId="0" borderId="14" xfId="0" applyFont="1" applyFill="1" applyBorder="1"/>
    <xf numFmtId="0" fontId="37" fillId="21" borderId="13" xfId="0" applyFont="1" applyFill="1" applyBorder="1" applyAlignment="1" applyProtection="1">
      <alignment horizontal="center" vertical="top" wrapText="1"/>
      <protection locked="0"/>
    </xf>
    <xf numFmtId="0" fontId="78" fillId="0" borderId="6" xfId="0" applyFont="1" applyFill="1" applyBorder="1" applyAlignment="1">
      <alignment horizontal="center"/>
    </xf>
    <xf numFmtId="0" fontId="35" fillId="0" borderId="19" xfId="0" applyFont="1" applyBorder="1"/>
    <xf numFmtId="165" fontId="0" fillId="0" borderId="17" xfId="0" applyNumberFormat="1" applyFill="1" applyBorder="1"/>
    <xf numFmtId="165" fontId="54" fillId="11" borderId="0" xfId="0" applyNumberFormat="1" applyFont="1" applyFill="1" applyBorder="1" applyAlignment="1">
      <alignment horizontal="center"/>
    </xf>
    <xf numFmtId="0" fontId="3" fillId="0" borderId="0" xfId="0" applyFont="1" applyFill="1" applyBorder="1" applyAlignment="1">
      <alignment vertical="top"/>
    </xf>
    <xf numFmtId="0" fontId="108" fillId="0" borderId="0" xfId="0" applyFont="1" applyFill="1" applyBorder="1" applyAlignment="1">
      <alignment horizontal="center"/>
    </xf>
    <xf numFmtId="165" fontId="0" fillId="0" borderId="0" xfId="0" applyNumberFormat="1"/>
    <xf numFmtId="9" fontId="0" fillId="0" borderId="0" xfId="0" applyNumberFormat="1" applyBorder="1" applyProtection="1"/>
    <xf numFmtId="0" fontId="6" fillId="0" borderId="0" xfId="0" applyFont="1" applyBorder="1" applyAlignment="1" applyProtection="1">
      <alignment textRotation="90"/>
    </xf>
    <xf numFmtId="0" fontId="6" fillId="23" borderId="43" xfId="0" applyFont="1" applyFill="1" applyBorder="1" applyAlignment="1" applyProtection="1">
      <alignment textRotation="90"/>
      <protection locked="0"/>
    </xf>
    <xf numFmtId="164" fontId="11" fillId="5" borderId="44" xfId="0" applyNumberFormat="1" applyFont="1" applyFill="1" applyBorder="1" applyProtection="1">
      <protection locked="0"/>
    </xf>
    <xf numFmtId="9" fontId="10" fillId="5" borderId="44" xfId="0" applyNumberFormat="1" applyFont="1" applyFill="1" applyBorder="1" applyProtection="1">
      <protection locked="0"/>
    </xf>
    <xf numFmtId="9" fontId="4" fillId="3" borderId="44" xfId="0" applyNumberFormat="1" applyFont="1" applyFill="1" applyBorder="1" applyProtection="1">
      <protection locked="0"/>
    </xf>
    <xf numFmtId="9" fontId="18" fillId="8" borderId="44" xfId="0" applyNumberFormat="1" applyFont="1" applyFill="1" applyBorder="1" applyProtection="1">
      <protection locked="0"/>
    </xf>
    <xf numFmtId="9" fontId="18" fillId="8" borderId="45" xfId="0" applyNumberFormat="1" applyFont="1" applyFill="1" applyBorder="1" applyProtection="1">
      <protection locked="0"/>
    </xf>
    <xf numFmtId="0" fontId="13" fillId="0" borderId="15" xfId="0" applyFont="1" applyFill="1" applyBorder="1" applyAlignment="1" applyProtection="1">
      <alignment horizontal="center" vertical="top" wrapText="1"/>
      <protection locked="0"/>
    </xf>
    <xf numFmtId="1" fontId="0" fillId="0" borderId="14" xfId="0" applyNumberFormat="1" applyFont="1" applyBorder="1"/>
    <xf numFmtId="1" fontId="52" fillId="47" borderId="1" xfId="0" quotePrefix="1" applyNumberFormat="1" applyFont="1" applyFill="1" applyBorder="1" applyAlignment="1" applyProtection="1">
      <alignment horizontal="center"/>
      <protection locked="0"/>
    </xf>
    <xf numFmtId="0" fontId="13" fillId="0" borderId="0" xfId="0" applyFont="1"/>
    <xf numFmtId="1" fontId="49" fillId="10" borderId="0" xfId="0" quotePrefix="1" applyNumberFormat="1" applyFont="1" applyFill="1" applyBorder="1"/>
    <xf numFmtId="0" fontId="87" fillId="21" borderId="0" xfId="0" applyFont="1" applyFill="1" applyBorder="1" applyAlignment="1" applyProtection="1">
      <alignment horizontal="left"/>
      <protection locked="0"/>
    </xf>
    <xf numFmtId="0" fontId="87" fillId="21" borderId="31" xfId="0" applyFont="1" applyFill="1" applyBorder="1" applyAlignment="1" applyProtection="1">
      <alignment horizontal="left"/>
      <protection locked="0"/>
    </xf>
    <xf numFmtId="0" fontId="87" fillId="3" borderId="0" xfId="0" applyFont="1" applyFill="1" applyBorder="1" applyAlignment="1" applyProtection="1">
      <alignment horizontal="left"/>
      <protection locked="0"/>
    </xf>
    <xf numFmtId="0" fontId="45" fillId="4" borderId="0" xfId="0" applyFont="1" applyFill="1" applyBorder="1" applyAlignment="1" applyProtection="1">
      <alignment horizontal="left"/>
      <protection locked="0"/>
    </xf>
    <xf numFmtId="0" fontId="3" fillId="21" borderId="0" xfId="0" applyFont="1" applyFill="1" applyBorder="1" applyAlignment="1">
      <alignment horizontal="left" vertical="top"/>
    </xf>
    <xf numFmtId="0" fontId="87" fillId="21" borderId="19" xfId="0" applyFont="1" applyFill="1" applyBorder="1" applyAlignment="1" applyProtection="1">
      <alignment horizontal="left"/>
      <protection locked="0"/>
    </xf>
    <xf numFmtId="0" fontId="68" fillId="21" borderId="0" xfId="0" applyFont="1" applyFill="1" applyBorder="1" applyAlignment="1" applyProtection="1">
      <alignment horizontal="left"/>
      <protection locked="0"/>
    </xf>
    <xf numFmtId="0" fontId="68" fillId="3" borderId="0" xfId="0" applyFont="1" applyFill="1" applyBorder="1" applyAlignment="1" applyProtection="1">
      <alignment horizontal="left"/>
      <protection locked="0"/>
    </xf>
    <xf numFmtId="165" fontId="0" fillId="47" borderId="1" xfId="0" quotePrefix="1" applyNumberFormat="1" applyFill="1" applyBorder="1" applyAlignment="1" applyProtection="1">
      <alignment horizontal="center"/>
      <protection locked="0"/>
    </xf>
    <xf numFmtId="9" fontId="17" fillId="0" borderId="0" xfId="0" applyNumberFormat="1" applyFont="1" applyFill="1" applyBorder="1"/>
    <xf numFmtId="0" fontId="35" fillId="21" borderId="0" xfId="0" applyFont="1" applyFill="1" applyBorder="1" applyAlignment="1">
      <alignment horizontal="left"/>
    </xf>
    <xf numFmtId="0" fontId="35" fillId="0" borderId="0" xfId="0" applyFont="1" applyBorder="1" applyAlignment="1">
      <alignment horizontal="left"/>
    </xf>
    <xf numFmtId="14" fontId="35" fillId="21" borderId="8" xfId="0" applyNumberFormat="1" applyFont="1" applyFill="1" applyBorder="1" applyAlignment="1">
      <alignment horizontal="left"/>
    </xf>
    <xf numFmtId="0" fontId="13" fillId="0" borderId="0" xfId="0" quotePrefix="1" applyFont="1"/>
    <xf numFmtId="0" fontId="48" fillId="0" borderId="0" xfId="0" applyFont="1" applyProtection="1"/>
    <xf numFmtId="0" fontId="0" fillId="12" borderId="39" xfId="0" applyFill="1" applyBorder="1"/>
    <xf numFmtId="0" fontId="35" fillId="25" borderId="39" xfId="0" applyFont="1" applyFill="1" applyBorder="1"/>
    <xf numFmtId="0" fontId="35" fillId="10" borderId="39" xfId="0" applyFont="1" applyFill="1" applyBorder="1"/>
    <xf numFmtId="0" fontId="35" fillId="43" borderId="39" xfId="0" applyFont="1" applyFill="1" applyBorder="1"/>
    <xf numFmtId="0" fontId="35" fillId="7" borderId="39" xfId="0" applyFont="1" applyFill="1" applyBorder="1"/>
    <xf numFmtId="0" fontId="35" fillId="13" borderId="39" xfId="0" applyFont="1" applyFill="1" applyBorder="1"/>
    <xf numFmtId="0" fontId="35" fillId="17" borderId="39" xfId="0" applyFont="1" applyFill="1" applyBorder="1"/>
    <xf numFmtId="0" fontId="35" fillId="23" borderId="39" xfId="0" applyFont="1" applyFill="1" applyBorder="1"/>
    <xf numFmtId="0" fontId="35" fillId="18" borderId="39" xfId="0" applyFont="1" applyFill="1" applyBorder="1"/>
    <xf numFmtId="0" fontId="1" fillId="12" borderId="39" xfId="0" applyFont="1" applyFill="1" applyBorder="1"/>
    <xf numFmtId="0" fontId="28" fillId="48" borderId="66" xfId="0" applyFont="1" applyFill="1" applyBorder="1" applyAlignment="1">
      <alignment vertical="top"/>
    </xf>
    <xf numFmtId="0" fontId="28" fillId="10" borderId="66" xfId="0" applyFont="1" applyFill="1" applyBorder="1" applyAlignment="1">
      <alignment vertical="top"/>
    </xf>
    <xf numFmtId="0" fontId="28" fillId="15" borderId="66" xfId="0" applyFont="1" applyFill="1" applyBorder="1" applyAlignment="1">
      <alignment vertical="top"/>
    </xf>
    <xf numFmtId="0" fontId="28" fillId="16" borderId="66" xfId="0" applyFont="1" applyFill="1" applyBorder="1" applyAlignment="1">
      <alignment vertical="top"/>
    </xf>
    <xf numFmtId="0" fontId="28" fillId="13" borderId="66" xfId="0" applyFont="1" applyFill="1" applyBorder="1" applyAlignment="1">
      <alignment vertical="top"/>
    </xf>
    <xf numFmtId="0" fontId="28" fillId="17" borderId="66" xfId="0" applyFont="1" applyFill="1" applyBorder="1" applyAlignment="1">
      <alignment vertical="top"/>
    </xf>
    <xf numFmtId="0" fontId="28" fillId="23" borderId="66" xfId="0" applyFont="1" applyFill="1" applyBorder="1" applyAlignment="1">
      <alignment vertical="top"/>
    </xf>
    <xf numFmtId="0" fontId="2" fillId="18" borderId="66" xfId="0" applyFont="1" applyFill="1" applyBorder="1"/>
    <xf numFmtId="0" fontId="0" fillId="0" borderId="67" xfId="0" applyFont="1" applyBorder="1"/>
    <xf numFmtId="0" fontId="1" fillId="0" borderId="67" xfId="0" applyFont="1" applyBorder="1"/>
    <xf numFmtId="15" fontId="87" fillId="21" borderId="0" xfId="0" applyNumberFormat="1" applyFont="1" applyFill="1" applyBorder="1" applyAlignment="1" applyProtection="1">
      <alignment horizontal="left"/>
      <protection locked="0"/>
    </xf>
    <xf numFmtId="1" fontId="63" fillId="8" borderId="4" xfId="0" quotePrefix="1" applyNumberFormat="1" applyFont="1" applyFill="1" applyBorder="1" applyAlignment="1">
      <alignment horizontal="center"/>
    </xf>
    <xf numFmtId="0" fontId="53" fillId="21" borderId="13" xfId="0" applyFont="1" applyFill="1" applyBorder="1" applyAlignment="1" applyProtection="1">
      <alignment horizontal="center" vertical="top" wrapText="1"/>
      <protection locked="0"/>
    </xf>
    <xf numFmtId="0" fontId="3" fillId="21" borderId="0" xfId="0" applyFont="1" applyFill="1" applyBorder="1" applyAlignment="1" applyProtection="1">
      <alignment horizontal="left" vertical="top"/>
      <protection locked="0"/>
    </xf>
    <xf numFmtId="0" fontId="35" fillId="21" borderId="49" xfId="0" applyFont="1" applyFill="1" applyBorder="1" applyProtection="1">
      <protection locked="0"/>
    </xf>
    <xf numFmtId="0" fontId="35" fillId="0" borderId="0" xfId="0" applyFont="1" applyBorder="1" applyProtection="1">
      <protection locked="0"/>
    </xf>
    <xf numFmtId="0" fontId="0" fillId="21" borderId="0" xfId="0" applyFill="1" applyProtection="1">
      <protection locked="0"/>
    </xf>
    <xf numFmtId="1" fontId="0" fillId="0" borderId="0" xfId="0" applyNumberFormat="1"/>
    <xf numFmtId="0" fontId="48" fillId="0" borderId="0" xfId="0" applyFont="1" applyFill="1" applyBorder="1"/>
    <xf numFmtId="0" fontId="48" fillId="0" borderId="31" xfId="0" applyFont="1" applyBorder="1"/>
    <xf numFmtId="0" fontId="48" fillId="0" borderId="0" xfId="0" applyFont="1" applyBorder="1"/>
    <xf numFmtId="0" fontId="85" fillId="0" borderId="0" xfId="0" applyFont="1" applyFill="1" applyBorder="1"/>
    <xf numFmtId="0" fontId="85" fillId="0" borderId="0" xfId="0" applyFont="1" applyBorder="1"/>
    <xf numFmtId="0" fontId="4" fillId="0" borderId="0" xfId="0" applyFont="1" applyFill="1" applyBorder="1" applyAlignment="1">
      <alignment vertical="center" wrapText="1"/>
    </xf>
    <xf numFmtId="0" fontId="48" fillId="0" borderId="0" xfId="0" applyFont="1" applyFill="1" applyBorder="1" applyAlignment="1">
      <alignment vertical="center" wrapText="1"/>
    </xf>
    <xf numFmtId="2" fontId="48" fillId="0" borderId="0" xfId="0" applyNumberFormat="1" applyFont="1" applyFill="1" applyBorder="1" applyAlignment="1">
      <alignment vertical="center" wrapText="1"/>
    </xf>
    <xf numFmtId="164" fontId="48" fillId="0" borderId="0" xfId="0" applyNumberFormat="1" applyFont="1" applyFill="1" applyBorder="1" applyAlignment="1">
      <alignment vertical="center" wrapText="1"/>
    </xf>
    <xf numFmtId="2" fontId="48" fillId="0" borderId="0" xfId="0" applyNumberFormat="1" applyFont="1" applyFill="1" applyBorder="1"/>
    <xf numFmtId="164" fontId="48" fillId="0" borderId="0" xfId="0" applyNumberFormat="1" applyFont="1" applyFill="1" applyBorder="1"/>
    <xf numFmtId="0" fontId="48" fillId="0" borderId="19" xfId="0" applyFont="1" applyBorder="1"/>
    <xf numFmtId="0" fontId="48" fillId="0" borderId="0" xfId="0" applyFont="1"/>
    <xf numFmtId="0" fontId="4" fillId="0" borderId="0" xfId="0" applyFont="1" applyFill="1" applyBorder="1"/>
    <xf numFmtId="0" fontId="115" fillId="0" borderId="0" xfId="0" applyFont="1" applyFill="1" applyBorder="1" applyAlignment="1">
      <alignment horizontal="center" textRotation="180"/>
    </xf>
    <xf numFmtId="0" fontId="48" fillId="0" borderId="0" xfId="0" applyFont="1" applyFill="1" applyBorder="1" applyAlignment="1">
      <alignment horizontal="right"/>
    </xf>
    <xf numFmtId="1" fontId="48" fillId="0" borderId="0" xfId="0" applyNumberFormat="1" applyFont="1" applyFill="1" applyBorder="1" applyAlignment="1">
      <alignment horizontal="center"/>
    </xf>
    <xf numFmtId="1" fontId="4" fillId="0" borderId="0" xfId="0" applyNumberFormat="1" applyFont="1" applyFill="1" applyBorder="1" applyAlignment="1">
      <alignment horizontal="center"/>
    </xf>
    <xf numFmtId="0" fontId="0" fillId="21" borderId="30" xfId="0" applyFill="1" applyBorder="1" applyProtection="1">
      <protection locked="0"/>
    </xf>
    <xf numFmtId="0" fontId="0" fillId="21" borderId="31" xfId="0" applyFill="1" applyBorder="1" applyProtection="1">
      <protection locked="0"/>
    </xf>
    <xf numFmtId="0" fontId="0" fillId="21" borderId="32" xfId="0" applyFill="1" applyBorder="1" applyProtection="1">
      <protection locked="0"/>
    </xf>
    <xf numFmtId="0" fontId="0" fillId="21" borderId="27" xfId="0" applyFill="1" applyBorder="1" applyProtection="1">
      <protection locked="0"/>
    </xf>
    <xf numFmtId="0" fontId="53" fillId="21" borderId="8" xfId="0" applyFont="1" applyFill="1" applyBorder="1" applyProtection="1">
      <protection locked="0"/>
    </xf>
    <xf numFmtId="0" fontId="0" fillId="21" borderId="8" xfId="0" applyFill="1" applyBorder="1" applyProtection="1">
      <protection locked="0"/>
    </xf>
    <xf numFmtId="0" fontId="0" fillId="21" borderId="63" xfId="0" applyFill="1" applyBorder="1" applyProtection="1">
      <protection locked="0"/>
    </xf>
    <xf numFmtId="0" fontId="0" fillId="21" borderId="0" xfId="0" applyFill="1" applyBorder="1" applyProtection="1">
      <protection locked="0"/>
    </xf>
    <xf numFmtId="0" fontId="0" fillId="21" borderId="40" xfId="0" applyFill="1" applyBorder="1" applyProtection="1">
      <protection locked="0"/>
    </xf>
    <xf numFmtId="0" fontId="0" fillId="21" borderId="19" xfId="0" applyFill="1" applyBorder="1" applyProtection="1">
      <protection locked="0"/>
    </xf>
    <xf numFmtId="0" fontId="0" fillId="21" borderId="34" xfId="0" applyFill="1" applyBorder="1" applyProtection="1">
      <protection locked="0"/>
    </xf>
    <xf numFmtId="0" fontId="109" fillId="12" borderId="3" xfId="0" applyFont="1" applyFill="1" applyBorder="1"/>
    <xf numFmtId="0" fontId="0" fillId="12" borderId="3" xfId="0" applyFont="1" applyFill="1" applyBorder="1"/>
    <xf numFmtId="0" fontId="0" fillId="12" borderId="3" xfId="0" applyFill="1" applyBorder="1"/>
    <xf numFmtId="0" fontId="0" fillId="12" borderId="0" xfId="0" applyFill="1" applyBorder="1"/>
    <xf numFmtId="0" fontId="0" fillId="12" borderId="0" xfId="0" applyFont="1" applyFill="1" applyBorder="1"/>
    <xf numFmtId="0" fontId="0" fillId="12" borderId="8" xfId="0" applyFill="1" applyBorder="1"/>
    <xf numFmtId="0" fontId="0" fillId="12" borderId="8" xfId="0" applyFont="1" applyFill="1" applyBorder="1"/>
    <xf numFmtId="0" fontId="21" fillId="20" borderId="68" xfId="0" applyFont="1" applyFill="1" applyBorder="1"/>
    <xf numFmtId="0" fontId="0" fillId="21" borderId="69" xfId="0" applyFill="1" applyBorder="1"/>
    <xf numFmtId="9" fontId="43" fillId="20" borderId="39" xfId="0" applyNumberFormat="1" applyFont="1" applyFill="1" applyBorder="1"/>
    <xf numFmtId="0" fontId="0" fillId="0" borderId="0" xfId="0" applyBorder="1" applyAlignment="1"/>
    <xf numFmtId="0" fontId="28" fillId="32" borderId="39" xfId="0" applyFont="1" applyFill="1" applyBorder="1" applyAlignment="1">
      <alignment horizontal="center" vertical="top" wrapText="1"/>
    </xf>
    <xf numFmtId="0" fontId="21" fillId="0" borderId="67" xfId="0" applyFont="1" applyFill="1" applyBorder="1" applyAlignment="1">
      <alignment horizontal="center" vertical="top" wrapText="1"/>
    </xf>
    <xf numFmtId="0" fontId="28" fillId="10" borderId="39" xfId="0" applyFont="1" applyFill="1" applyBorder="1" applyAlignment="1">
      <alignment horizontal="center" vertical="top" wrapText="1"/>
    </xf>
    <xf numFmtId="0" fontId="28" fillId="15" borderId="39" xfId="0" applyFont="1" applyFill="1" applyBorder="1" applyAlignment="1">
      <alignment horizontal="center" vertical="top" wrapText="1"/>
    </xf>
    <xf numFmtId="0" fontId="28" fillId="16" borderId="39" xfId="0" applyFont="1" applyFill="1" applyBorder="1" applyAlignment="1">
      <alignment horizontal="center" vertical="top" wrapText="1"/>
    </xf>
    <xf numFmtId="0" fontId="28" fillId="31" borderId="39" xfId="0" applyFont="1" applyFill="1" applyBorder="1" applyAlignment="1">
      <alignment horizontal="center" vertical="top" wrapText="1"/>
    </xf>
    <xf numFmtId="0" fontId="28" fillId="17" borderId="39" xfId="0" applyFont="1" applyFill="1" applyBorder="1" applyAlignment="1">
      <alignment horizontal="center" vertical="top" wrapText="1"/>
    </xf>
    <xf numFmtId="0" fontId="28" fillId="23" borderId="39" xfId="0" applyFont="1" applyFill="1" applyBorder="1" applyAlignment="1">
      <alignment horizontal="center" vertical="top" wrapText="1"/>
    </xf>
    <xf numFmtId="0" fontId="28" fillId="18" borderId="39" xfId="0" applyFont="1" applyFill="1" applyBorder="1" applyAlignment="1">
      <alignment horizontal="center" vertical="top" wrapText="1"/>
    </xf>
    <xf numFmtId="0" fontId="81" fillId="0" borderId="0" xfId="0" applyFont="1" applyBorder="1"/>
    <xf numFmtId="0" fontId="0" fillId="0" borderId="0" xfId="0" quotePrefix="1" applyFont="1" applyBorder="1"/>
    <xf numFmtId="1" fontId="56" fillId="0" borderId="0" xfId="0" applyNumberFormat="1" applyFont="1" applyBorder="1" applyAlignment="1">
      <alignment horizontal="left"/>
    </xf>
    <xf numFmtId="15" fontId="35" fillId="0" borderId="0" xfId="0" applyNumberFormat="1" applyFont="1" applyFill="1" applyBorder="1" applyAlignment="1" applyProtection="1">
      <alignment horizontal="left"/>
      <protection locked="0"/>
    </xf>
    <xf numFmtId="0" fontId="12" fillId="0" borderId="0" xfId="0" applyFont="1" applyProtection="1">
      <protection locked="0"/>
    </xf>
    <xf numFmtId="0" fontId="3" fillId="0" borderId="0" xfId="0" applyFont="1" applyFill="1" applyBorder="1" applyAlignment="1" applyProtection="1">
      <alignment vertical="top"/>
      <protection locked="0"/>
    </xf>
    <xf numFmtId="0" fontId="0" fillId="0" borderId="0" xfId="0" applyAlignment="1" applyProtection="1">
      <alignment horizontal="right"/>
      <protection locked="0"/>
    </xf>
    <xf numFmtId="0" fontId="0" fillId="0" borderId="0" xfId="0" applyAlignment="1" applyProtection="1">
      <alignment horizontal="center"/>
      <protection locked="0"/>
    </xf>
    <xf numFmtId="0" fontId="65" fillId="21" borderId="0" xfId="0" applyFont="1" applyFill="1" applyBorder="1" applyAlignment="1" applyProtection="1">
      <alignment horizontal="left"/>
    </xf>
    <xf numFmtId="0" fontId="110" fillId="21" borderId="0" xfId="0" applyFont="1" applyFill="1" applyBorder="1" applyAlignment="1" applyProtection="1">
      <alignment horizontal="left"/>
    </xf>
    <xf numFmtId="0" fontId="87" fillId="21" borderId="0" xfId="0" applyFont="1" applyFill="1" applyBorder="1" applyAlignment="1" applyProtection="1">
      <alignment horizontal="left"/>
    </xf>
    <xf numFmtId="0" fontId="117" fillId="0" borderId="0" xfId="0" applyFont="1"/>
    <xf numFmtId="0" fontId="118" fillId="0" borderId="0" xfId="0" applyFont="1"/>
    <xf numFmtId="0" fontId="6" fillId="21" borderId="0" xfId="0" applyFont="1" applyFill="1"/>
    <xf numFmtId="0" fontId="0" fillId="0" borderId="70" xfId="0" applyBorder="1"/>
    <xf numFmtId="0" fontId="26" fillId="0" borderId="71" xfId="0" applyFont="1" applyBorder="1"/>
    <xf numFmtId="0" fontId="0" fillId="0" borderId="71" xfId="0" applyBorder="1"/>
    <xf numFmtId="0" fontId="0" fillId="0" borderId="72" xfId="0" applyBorder="1"/>
    <xf numFmtId="0" fontId="120" fillId="0" borderId="73" xfId="0" applyFont="1" applyBorder="1"/>
    <xf numFmtId="0" fontId="30" fillId="0" borderId="74" xfId="0" applyFont="1" applyBorder="1"/>
    <xf numFmtId="0" fontId="30" fillId="0" borderId="75" xfId="0" applyFont="1" applyBorder="1"/>
    <xf numFmtId="0" fontId="120" fillId="0" borderId="76" xfId="0" applyFont="1" applyBorder="1"/>
    <xf numFmtId="0" fontId="30" fillId="0" borderId="77" xfId="0" applyFont="1" applyBorder="1"/>
    <xf numFmtId="0" fontId="30" fillId="0" borderId="78" xfId="0" applyFont="1" applyBorder="1"/>
    <xf numFmtId="0" fontId="120" fillId="0" borderId="79" xfId="0" applyFont="1" applyBorder="1"/>
    <xf numFmtId="0" fontId="30" fillId="0" borderId="80" xfId="0" applyFont="1" applyBorder="1"/>
    <xf numFmtId="0" fontId="120" fillId="0" borderId="81" xfId="0" applyFont="1" applyBorder="1"/>
    <xf numFmtId="0" fontId="30" fillId="0" borderId="71" xfId="0" applyFont="1" applyBorder="1"/>
    <xf numFmtId="0" fontId="30" fillId="0" borderId="72" xfId="0" applyFont="1" applyBorder="1"/>
    <xf numFmtId="0" fontId="31" fillId="0" borderId="0" xfId="0" applyFont="1"/>
    <xf numFmtId="0" fontId="7" fillId="0" borderId="0" xfId="0" applyFont="1"/>
    <xf numFmtId="0" fontId="122" fillId="0" borderId="0" xfId="1" applyFont="1"/>
    <xf numFmtId="0" fontId="111" fillId="0" borderId="0" xfId="0" applyFont="1" applyAlignment="1">
      <alignment horizontal="left"/>
    </xf>
    <xf numFmtId="0" fontId="35" fillId="0" borderId="0" xfId="0" applyFont="1" applyAlignment="1">
      <alignment horizontal="left"/>
    </xf>
    <xf numFmtId="0" fontId="119" fillId="0" borderId="0" xfId="1" applyFont="1"/>
    <xf numFmtId="0" fontId="119" fillId="0" borderId="0" xfId="1" applyFont="1" applyFill="1" applyBorder="1" applyAlignment="1">
      <alignment horizontal="left"/>
    </xf>
    <xf numFmtId="0" fontId="7" fillId="0" borderId="0" xfId="0" applyFont="1" applyAlignment="1">
      <alignment horizontal="left" vertical="center" readingOrder="1"/>
    </xf>
    <xf numFmtId="0" fontId="6" fillId="0" borderId="0" xfId="0" applyFont="1" applyAlignment="1">
      <alignment horizontal="left" vertical="center" readingOrder="1"/>
    </xf>
    <xf numFmtId="0" fontId="123" fillId="0" borderId="0" xfId="0" applyFont="1" applyAlignment="1">
      <alignment horizontal="left" vertical="center" readingOrder="1"/>
    </xf>
    <xf numFmtId="0" fontId="124" fillId="0" borderId="0" xfId="0" applyFont="1" applyAlignment="1">
      <alignment horizontal="left" vertical="center" readingOrder="1"/>
    </xf>
    <xf numFmtId="0" fontId="125" fillId="0" borderId="0" xfId="0" applyFont="1" applyAlignment="1">
      <alignment horizontal="left" vertical="center" readingOrder="1"/>
    </xf>
    <xf numFmtId="0" fontId="126" fillId="0" borderId="0" xfId="0" applyFont="1" applyAlignment="1">
      <alignment horizontal="left" vertical="center" readingOrder="1"/>
    </xf>
    <xf numFmtId="0" fontId="127" fillId="0" borderId="0" xfId="0" applyFont="1" applyAlignment="1">
      <alignment horizontal="left" vertical="center" readingOrder="1"/>
    </xf>
    <xf numFmtId="0" fontId="6" fillId="0" borderId="0" xfId="0" applyFont="1" applyAlignment="1">
      <alignment horizontal="left"/>
    </xf>
    <xf numFmtId="0" fontId="128" fillId="0" borderId="0" xfId="0" applyFont="1" applyAlignment="1">
      <alignment horizontal="left" vertical="center" readingOrder="1"/>
    </xf>
    <xf numFmtId="0" fontId="24" fillId="0" borderId="0" xfId="0" applyFont="1" applyAlignment="1">
      <alignment horizontal="left" vertical="center" readingOrder="1"/>
    </xf>
    <xf numFmtId="0" fontId="129" fillId="0" borderId="0" xfId="0" applyFont="1" applyAlignment="1">
      <alignment horizontal="left" vertical="center" readingOrder="1"/>
    </xf>
    <xf numFmtId="0" fontId="130" fillId="0" borderId="0" xfId="0" applyFont="1" applyAlignment="1">
      <alignment horizontal="left" vertical="center" readingOrder="1"/>
    </xf>
    <xf numFmtId="0" fontId="132" fillId="0" borderId="0" xfId="0" applyFont="1"/>
    <xf numFmtId="0" fontId="6" fillId="37" borderId="0" xfId="0" applyFont="1" applyFill="1"/>
    <xf numFmtId="0" fontId="121" fillId="0" borderId="0" xfId="0" applyFont="1"/>
    <xf numFmtId="0" fontId="121" fillId="0" borderId="0" xfId="0" quotePrefix="1" applyFont="1"/>
    <xf numFmtId="0" fontId="133" fillId="0" borderId="0" xfId="0" applyFont="1" applyAlignment="1">
      <alignment horizontal="left" vertical="center" indent="2"/>
    </xf>
    <xf numFmtId="0" fontId="135" fillId="0" borderId="0" xfId="1" applyFont="1"/>
    <xf numFmtId="0" fontId="6" fillId="21" borderId="0" xfId="1" applyFont="1" applyFill="1"/>
    <xf numFmtId="0" fontId="6" fillId="0" borderId="0" xfId="1" applyFont="1"/>
    <xf numFmtId="0" fontId="6" fillId="0" borderId="0" xfId="1" applyFont="1" applyAlignment="1">
      <alignment horizontal="left"/>
    </xf>
    <xf numFmtId="0" fontId="6" fillId="0" borderId="0" xfId="1" applyFont="1" applyAlignment="1">
      <alignment horizontal="right"/>
    </xf>
    <xf numFmtId="0" fontId="6" fillId="0" borderId="0" xfId="1" applyFont="1" applyFill="1" applyBorder="1" applyAlignment="1">
      <alignment horizontal="left"/>
    </xf>
    <xf numFmtId="0" fontId="7" fillId="0" borderId="0" xfId="0" applyFont="1" applyAlignment="1">
      <alignment horizontal="left"/>
    </xf>
    <xf numFmtId="0" fontId="1" fillId="21" borderId="0" xfId="0" applyFont="1" applyFill="1"/>
    <xf numFmtId="0" fontId="1" fillId="0" borderId="0" xfId="0" applyFont="1"/>
    <xf numFmtId="0" fontId="7" fillId="21" borderId="0" xfId="1" applyFont="1" applyFill="1"/>
    <xf numFmtId="0" fontId="7" fillId="0" borderId="0" xfId="1" applyFont="1"/>
  </cellXfs>
  <cellStyles count="2">
    <cellStyle name="Hyperlink" xfId="1" builtinId="8"/>
    <cellStyle name="Standaard" xfId="0" builtinId="0"/>
  </cellStyles>
  <dxfs count="0"/>
  <tableStyles count="0" defaultTableStyle="TableStyleMedium2" defaultPivotStyle="PivotStyleLight16"/>
  <colors>
    <mruColors>
      <color rgb="FFFFFFFF"/>
      <color rgb="FF000000"/>
      <color rgb="FF00B0F0"/>
      <color rgb="FF4472C4"/>
      <color rgb="FFFF4343"/>
      <color rgb="FF3399FF"/>
      <color rgb="FF428BCE"/>
      <color rgb="FFDE0000"/>
      <color rgb="FFFFFFCC"/>
      <color rgb="FF3A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3" Type="http://schemas.openxmlformats.org/officeDocument/2006/relationships/image" Target="../media/image49.png"/><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image" Target="../media/image49.png"/><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3" Type="http://schemas.openxmlformats.org/officeDocument/2006/relationships/image" Target="../media/image49.png"/><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3" Type="http://schemas.openxmlformats.org/officeDocument/2006/relationships/image" Target="../media/image49.png"/><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3" Type="http://schemas.openxmlformats.org/officeDocument/2006/relationships/image" Target="../media/image49.png"/><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3" Type="http://schemas.openxmlformats.org/officeDocument/2006/relationships/image" Target="../media/image49.png"/><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r>
              <a:rPr lang="nl-NL" sz="1800" b="1"/>
              <a:t>Procesmonitor Circulaire Peiler (in detail)</a:t>
            </a:r>
          </a:p>
        </c:rich>
      </c:tx>
      <c:overlay val="0"/>
      <c:spPr>
        <a:noFill/>
        <a:ln>
          <a:noFill/>
        </a:ln>
        <a:effectLst/>
      </c:spPr>
      <c:txPr>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tx>
            <c:strRef>
              <c:f>'invoer Basis'!$CAA$24</c:f>
              <c:strCache>
                <c:ptCount val="1"/>
                <c:pt idx="0">
                  <c:v>verklein opgave</c:v>
                </c:pt>
              </c:strCache>
            </c:strRef>
          </c:tx>
          <c:spPr>
            <a:solidFill>
              <a:schemeClr val="tx2">
                <a:lumMod val="75000"/>
              </a:schemeClr>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Basis'!$CAB$24:$CAC$24</c:f>
              <c:numCache>
                <c:formatCode>0</c:formatCode>
                <c:ptCount val="2"/>
                <c:pt idx="0">
                  <c:v>#N/A</c:v>
                </c:pt>
                <c:pt idx="1">
                  <c:v>27</c:v>
                </c:pt>
              </c:numCache>
            </c:numRef>
          </c:val>
          <c:extLst>
            <c:ext xmlns:c16="http://schemas.microsoft.com/office/drawing/2014/chart" uri="{C3380CC4-5D6E-409C-BE32-E72D297353CC}">
              <c16:uniqueId val="{00000000-A41D-49ED-95B2-4DA1156F8271}"/>
            </c:ext>
          </c:extLst>
        </c:ser>
        <c:ser>
          <c:idx val="1"/>
          <c:order val="1"/>
          <c:tx>
            <c:strRef>
              <c:f>'invoer Basis'!$CAA$25</c:f>
              <c:strCache>
                <c:ptCount val="1"/>
                <c:pt idx="0">
                  <c:v>levensduurverlenging</c:v>
                </c:pt>
              </c:strCache>
            </c:strRef>
          </c:tx>
          <c:spPr>
            <a:solidFill>
              <a:srgbClr val="FF0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Basis'!$CAB$25:$CAC$25</c:f>
              <c:numCache>
                <c:formatCode>0</c:formatCode>
                <c:ptCount val="2"/>
                <c:pt idx="0">
                  <c:v>#N/A</c:v>
                </c:pt>
                <c:pt idx="1">
                  <c:v>7.0000000000000009</c:v>
                </c:pt>
              </c:numCache>
            </c:numRef>
          </c:val>
          <c:extLst>
            <c:ext xmlns:c16="http://schemas.microsoft.com/office/drawing/2014/chart" uri="{C3380CC4-5D6E-409C-BE32-E72D297353CC}">
              <c16:uniqueId val="{00000001-A41D-49ED-95B2-4DA1156F8271}"/>
            </c:ext>
          </c:extLst>
        </c:ser>
        <c:ser>
          <c:idx val="2"/>
          <c:order val="2"/>
          <c:tx>
            <c:strRef>
              <c:f>'invoer Basis'!$CAA$26</c:f>
              <c:strCache>
                <c:ptCount val="1"/>
                <c:pt idx="0">
                  <c:v>hergebruik</c:v>
                </c:pt>
              </c:strCache>
            </c:strRef>
          </c:tx>
          <c:spPr>
            <a:solidFill>
              <a:srgbClr val="00B05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Basis'!$CAB$26:$CAC$26</c:f>
              <c:numCache>
                <c:formatCode>0</c:formatCode>
                <c:ptCount val="2"/>
                <c:pt idx="0">
                  <c:v>#N/A</c:v>
                </c:pt>
                <c:pt idx="1">
                  <c:v>2.8000000000000003</c:v>
                </c:pt>
              </c:numCache>
            </c:numRef>
          </c:val>
          <c:extLst>
            <c:ext xmlns:c16="http://schemas.microsoft.com/office/drawing/2014/chart" uri="{C3380CC4-5D6E-409C-BE32-E72D297353CC}">
              <c16:uniqueId val="{00000002-A41D-49ED-95B2-4DA1156F8271}"/>
            </c:ext>
          </c:extLst>
        </c:ser>
        <c:ser>
          <c:idx val="3"/>
          <c:order val="3"/>
          <c:tx>
            <c:strRef>
              <c:f>'invoer Basis'!$CAA$27</c:f>
              <c:strCache>
                <c:ptCount val="1"/>
                <c:pt idx="0">
                  <c:v>materialendatabank</c:v>
                </c:pt>
              </c:strCache>
            </c:strRef>
          </c:tx>
          <c:spPr>
            <a:solidFill>
              <a:srgbClr val="00FF99"/>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Basis'!$CAB$27:$CAC$27</c:f>
              <c:numCache>
                <c:formatCode>0</c:formatCode>
                <c:ptCount val="2"/>
                <c:pt idx="0">
                  <c:v>#N/A</c:v>
                </c:pt>
                <c:pt idx="1">
                  <c:v>2.8000000000000003</c:v>
                </c:pt>
              </c:numCache>
            </c:numRef>
          </c:val>
          <c:extLst>
            <c:ext xmlns:c16="http://schemas.microsoft.com/office/drawing/2014/chart" uri="{C3380CC4-5D6E-409C-BE32-E72D297353CC}">
              <c16:uniqueId val="{00000003-A41D-49ED-95B2-4DA1156F8271}"/>
            </c:ext>
          </c:extLst>
        </c:ser>
        <c:ser>
          <c:idx val="4"/>
          <c:order val="4"/>
          <c:tx>
            <c:strRef>
              <c:f>'invoer Basis'!$CAA$28</c:f>
              <c:strCache>
                <c:ptCount val="1"/>
                <c:pt idx="0">
                  <c:v>natuurlijk proces</c:v>
                </c:pt>
              </c:strCache>
            </c:strRef>
          </c:tx>
          <c:spPr>
            <a:solidFill>
              <a:srgbClr val="CCFFCC"/>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Basis'!$CAB$28:$CAC$28</c:f>
              <c:numCache>
                <c:formatCode>0</c:formatCode>
                <c:ptCount val="2"/>
                <c:pt idx="0">
                  <c:v>#N/A</c:v>
                </c:pt>
                <c:pt idx="1">
                  <c:v>1.4000000000000001</c:v>
                </c:pt>
              </c:numCache>
            </c:numRef>
          </c:val>
          <c:extLst>
            <c:ext xmlns:c16="http://schemas.microsoft.com/office/drawing/2014/chart" uri="{C3380CC4-5D6E-409C-BE32-E72D297353CC}">
              <c16:uniqueId val="{00000004-A41D-49ED-95B2-4DA1156F8271}"/>
            </c:ext>
          </c:extLst>
        </c:ser>
        <c:ser>
          <c:idx val="5"/>
          <c:order val="5"/>
          <c:tx>
            <c:strRef>
              <c:f>'invoer Basis'!$CAA$29</c:f>
              <c:strCache>
                <c:ptCount val="1"/>
                <c:pt idx="0">
                  <c:v>herbruikb.na afdank</c:v>
                </c:pt>
              </c:strCache>
            </c:strRef>
          </c:tx>
          <c:spPr>
            <a:solidFill>
              <a:srgbClr val="FFC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Basis'!$CAB$29:$CAC$29</c:f>
              <c:numCache>
                <c:formatCode>0</c:formatCode>
                <c:ptCount val="2"/>
                <c:pt idx="0">
                  <c:v>#N/A</c:v>
                </c:pt>
                <c:pt idx="1">
                  <c:v>6.3000000000000007</c:v>
                </c:pt>
              </c:numCache>
            </c:numRef>
          </c:val>
          <c:extLst>
            <c:ext xmlns:c16="http://schemas.microsoft.com/office/drawing/2014/chart" uri="{C3380CC4-5D6E-409C-BE32-E72D297353CC}">
              <c16:uniqueId val="{00000005-A41D-49ED-95B2-4DA1156F8271}"/>
            </c:ext>
          </c:extLst>
        </c:ser>
        <c:ser>
          <c:idx val="6"/>
          <c:order val="6"/>
          <c:tx>
            <c:strRef>
              <c:f>'invoer Basis'!$CAA$30</c:f>
              <c:strCache>
                <c:ptCount val="1"/>
                <c:pt idx="0">
                  <c:v>materialenpaspoort</c:v>
                </c:pt>
              </c:strCache>
            </c:strRef>
          </c:tx>
          <c:spPr>
            <a:solidFill>
              <a:srgbClr val="FFFF66"/>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Basis'!$CAB$30:$CAC$30</c:f>
              <c:numCache>
                <c:formatCode>0</c:formatCode>
                <c:ptCount val="2"/>
                <c:pt idx="0">
                  <c:v>#N/A</c:v>
                </c:pt>
                <c:pt idx="1">
                  <c:v>0.70000000000000007</c:v>
                </c:pt>
              </c:numCache>
            </c:numRef>
          </c:val>
          <c:extLst>
            <c:ext xmlns:c16="http://schemas.microsoft.com/office/drawing/2014/chart" uri="{C3380CC4-5D6E-409C-BE32-E72D297353CC}">
              <c16:uniqueId val="{00000006-A41D-49ED-95B2-4DA1156F8271}"/>
            </c:ext>
          </c:extLst>
        </c:ser>
        <c:ser>
          <c:idx val="7"/>
          <c:order val="7"/>
          <c:tx>
            <c:strRef>
              <c:f>'invoer Basis'!$CAA$31</c:f>
              <c:strCache>
                <c:ptCount val="1"/>
                <c:pt idx="0">
                  <c:v>toekomstgericht</c:v>
                </c:pt>
              </c:strCache>
            </c:strRef>
          </c:tx>
          <c:spPr>
            <a:solidFill>
              <a:srgbClr val="00206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Basis'!$CAB$31:$CAC$31</c:f>
              <c:numCache>
                <c:formatCode>0</c:formatCode>
                <c:ptCount val="2"/>
                <c:pt idx="0">
                  <c:v>#N/A</c:v>
                </c:pt>
                <c:pt idx="1">
                  <c:v>10</c:v>
                </c:pt>
              </c:numCache>
            </c:numRef>
          </c:val>
          <c:extLst>
            <c:ext xmlns:c16="http://schemas.microsoft.com/office/drawing/2014/chart" uri="{C3380CC4-5D6E-409C-BE32-E72D297353CC}">
              <c16:uniqueId val="{00000007-A41D-49ED-95B2-4DA1156F8271}"/>
            </c:ext>
          </c:extLst>
        </c:ser>
        <c:ser>
          <c:idx val="8"/>
          <c:order val="8"/>
          <c:tx>
            <c:strRef>
              <c:f>'invoer Basis'!$CAA$32</c:f>
              <c:strCache>
                <c:ptCount val="1"/>
                <c:pt idx="0">
                  <c:v>beheer/onderhoud</c:v>
                </c:pt>
              </c:strCache>
            </c:strRef>
          </c:tx>
          <c:spPr>
            <a:solidFill>
              <a:srgbClr val="6666FF"/>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Basis'!$CAB$32:$CAC$32</c:f>
              <c:numCache>
                <c:formatCode>0</c:formatCode>
                <c:ptCount val="2"/>
                <c:pt idx="0">
                  <c:v>#N/A</c:v>
                </c:pt>
                <c:pt idx="1">
                  <c:v>7.0000000000000009</c:v>
                </c:pt>
              </c:numCache>
            </c:numRef>
          </c:val>
          <c:extLst>
            <c:ext xmlns:c16="http://schemas.microsoft.com/office/drawing/2014/chart" uri="{C3380CC4-5D6E-409C-BE32-E72D297353CC}">
              <c16:uniqueId val="{00000008-A41D-49ED-95B2-4DA1156F8271}"/>
            </c:ext>
          </c:extLst>
        </c:ser>
        <c:ser>
          <c:idx val="9"/>
          <c:order val="9"/>
          <c:tx>
            <c:strRef>
              <c:f>'invoer Basis'!$CAA$33</c:f>
              <c:strCache>
                <c:ptCount val="1"/>
                <c:pt idx="0">
                  <c:v>MKIberekening</c:v>
                </c:pt>
              </c:strCache>
            </c:strRef>
          </c:tx>
          <c:spPr>
            <a:solidFill>
              <a:srgbClr val="FF6600">
                <a:alpha val="89804"/>
              </a:srgbClr>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0">
                <a:spAutoFit/>
              </a:bodyPr>
              <a:lstStyle/>
              <a:p>
                <a:pPr algn="ctr">
                  <a:defRPr lang="nl-NL"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Basis'!$CAB$33:$CAC$33</c:f>
              <c:numCache>
                <c:formatCode>0</c:formatCode>
                <c:ptCount val="2"/>
                <c:pt idx="0">
                  <c:v>#N/A</c:v>
                </c:pt>
                <c:pt idx="1">
                  <c:v>20</c:v>
                </c:pt>
              </c:numCache>
            </c:numRef>
          </c:val>
          <c:extLst>
            <c:ext xmlns:c16="http://schemas.microsoft.com/office/drawing/2014/chart" uri="{C3380CC4-5D6E-409C-BE32-E72D297353CC}">
              <c16:uniqueId val="{00000009-A41D-49ED-95B2-4DA1156F8271}"/>
            </c:ext>
          </c:extLst>
        </c:ser>
        <c:ser>
          <c:idx val="10"/>
          <c:order val="10"/>
          <c:tx>
            <c:strRef>
              <c:f>'invoer Basis'!$CAA$34</c:f>
              <c:strCache>
                <c:ptCount val="1"/>
                <c:pt idx="0">
                  <c:v>CIberekening</c:v>
                </c:pt>
              </c:strCache>
            </c:strRef>
          </c:tx>
          <c:spPr>
            <a:solidFill>
              <a:srgbClr val="FF9966"/>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Basis'!$CAB$34:$CAC$34</c:f>
              <c:numCache>
                <c:formatCode>0</c:formatCode>
                <c:ptCount val="2"/>
                <c:pt idx="0">
                  <c:v>#N/A</c:v>
                </c:pt>
                <c:pt idx="1">
                  <c:v>4.9999999999999991</c:v>
                </c:pt>
              </c:numCache>
            </c:numRef>
          </c:val>
          <c:extLst>
            <c:ext xmlns:c16="http://schemas.microsoft.com/office/drawing/2014/chart" uri="{C3380CC4-5D6E-409C-BE32-E72D297353CC}">
              <c16:uniqueId val="{0000000A-A41D-49ED-95B2-4DA1156F8271}"/>
            </c:ext>
          </c:extLst>
        </c:ser>
        <c:ser>
          <c:idx val="11"/>
          <c:order val="11"/>
          <c:tx>
            <c:strRef>
              <c:f>'invoer Basis'!$CAA$35</c:f>
              <c:strCache>
                <c:ptCount val="1"/>
                <c:pt idx="0">
                  <c:v>CO2berekening</c:v>
                </c:pt>
              </c:strCache>
            </c:strRef>
          </c:tx>
          <c:spPr>
            <a:solidFill>
              <a:srgbClr val="C00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Basis'!$CAB$35:$CAC$35</c:f>
              <c:numCache>
                <c:formatCode>0</c:formatCode>
                <c:ptCount val="2"/>
                <c:pt idx="0">
                  <c:v>#N/A</c:v>
                </c:pt>
                <c:pt idx="1">
                  <c:v>10</c:v>
                </c:pt>
              </c:numCache>
            </c:numRef>
          </c:val>
          <c:extLst>
            <c:ext xmlns:c16="http://schemas.microsoft.com/office/drawing/2014/chart" uri="{C3380CC4-5D6E-409C-BE32-E72D297353CC}">
              <c16:uniqueId val="{0000000B-A41D-49ED-95B2-4DA1156F8271}"/>
            </c:ext>
          </c:extLst>
        </c:ser>
        <c:ser>
          <c:idx val="12"/>
          <c:order val="12"/>
          <c:tx>
            <c:strRef>
              <c:f>'invoer Basis'!$CAA$36</c:f>
              <c:strCache>
                <c:ptCount val="1"/>
                <c:pt idx="0">
                  <c:v>bonus</c:v>
                </c:pt>
              </c:strCache>
            </c:strRef>
          </c:tx>
          <c:spPr>
            <a:pattFill prst="ltUpDiag">
              <a:fgClr>
                <a:schemeClr val="bg1">
                  <a:lumMod val="85000"/>
                </a:schemeClr>
              </a:fgClr>
              <a:bgClr>
                <a:schemeClr val="bg1"/>
              </a:bgClr>
            </a:pattFill>
            <a:ln>
              <a:noFill/>
              <a:prstDash val="dash"/>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Basis'!$CAB$36:$CAC$36</c:f>
              <c:numCache>
                <c:formatCode>General</c:formatCode>
                <c:ptCount val="2"/>
                <c:pt idx="0" formatCode="0">
                  <c:v>0</c:v>
                </c:pt>
              </c:numCache>
            </c:numRef>
          </c:val>
          <c:extLst>
            <c:ext xmlns:c16="http://schemas.microsoft.com/office/drawing/2014/chart" uri="{C3380CC4-5D6E-409C-BE32-E72D297353CC}">
              <c16:uniqueId val="{0000000C-A41D-49ED-95B2-4DA1156F8271}"/>
            </c:ext>
          </c:extLst>
        </c:ser>
        <c:ser>
          <c:idx val="13"/>
          <c:order val="13"/>
          <c:tx>
            <c:strRef>
              <c:f>'invoer Basis'!$CAA$37</c:f>
              <c:strCache>
                <c:ptCount val="1"/>
                <c:pt idx="0">
                  <c:v>rest</c:v>
                </c:pt>
              </c:strCache>
            </c:strRef>
          </c:tx>
          <c:spPr>
            <a:blipFill>
              <a:blip xmlns:r="http://schemas.openxmlformats.org/officeDocument/2006/relationships" r:embed="rId3"/>
              <a:stretch>
                <a:fillRect/>
              </a:stretch>
            </a:blipFill>
            <a:ln>
              <a:noFill/>
            </a:ln>
            <a:effectLst/>
          </c:spPr>
          <c:invertIfNegative val="0"/>
          <c:dPt>
            <c:idx val="0"/>
            <c:invertIfNegative val="0"/>
            <c:bubble3D val="0"/>
            <c:spPr>
              <a:blipFill>
                <a:blip xmlns:r="http://schemas.openxmlformats.org/officeDocument/2006/relationships" r:embed="rId3"/>
                <a:stretch>
                  <a:fillRect/>
                </a:stretch>
              </a:blipFill>
              <a:ln>
                <a:noFill/>
              </a:ln>
              <a:effectLst/>
            </c:spPr>
            <c:extLst>
              <c:ext xmlns:c16="http://schemas.microsoft.com/office/drawing/2014/chart" uri="{C3380CC4-5D6E-409C-BE32-E72D297353CC}">
                <c16:uniqueId val="{00000001-4715-41C9-84D0-AFE07A4E3C25}"/>
              </c:ext>
            </c:extLst>
          </c:dPt>
          <c:dLbls>
            <c:dLbl>
              <c:idx val="1"/>
              <c:delete val="1"/>
              <c:extLst>
                <c:ext xmlns:c15="http://schemas.microsoft.com/office/drawing/2012/chart" uri="{CE6537A1-D6FC-4f65-9D91-7224C49458BB}"/>
                <c:ext xmlns:c16="http://schemas.microsoft.com/office/drawing/2014/chart" uri="{C3380CC4-5D6E-409C-BE32-E72D297353CC}">
                  <c16:uniqueId val="{00000002-4715-41C9-84D0-AFE07A4E3C25}"/>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8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Basis'!$CAB$23:$CAC$23</c:f>
              <c:strCache>
                <c:ptCount val="2"/>
                <c:pt idx="0">
                  <c:v>invoer Basis</c:v>
                </c:pt>
                <c:pt idx="1">
                  <c:v>max score</c:v>
                </c:pt>
              </c:strCache>
            </c:strRef>
          </c:cat>
          <c:val>
            <c:numRef>
              <c:f>'invoer Basis'!$CAB$37:$CAC$37</c:f>
              <c:numCache>
                <c:formatCode>0</c:formatCode>
                <c:ptCount val="2"/>
                <c:pt idx="0">
                  <c:v>#N/A</c:v>
                </c:pt>
                <c:pt idx="1">
                  <c:v>0</c:v>
                </c:pt>
              </c:numCache>
            </c:numRef>
          </c:val>
          <c:extLst>
            <c:ext xmlns:c16="http://schemas.microsoft.com/office/drawing/2014/chart" uri="{C3380CC4-5D6E-409C-BE32-E72D297353CC}">
              <c16:uniqueId val="{00000003-4568-4344-AD09-3580B56E44B1}"/>
            </c:ext>
          </c:extLst>
        </c:ser>
        <c:dLbls>
          <c:showLegendKey val="0"/>
          <c:showVal val="0"/>
          <c:showCatName val="0"/>
          <c:showSerName val="0"/>
          <c:showPercent val="0"/>
          <c:showBubbleSize val="0"/>
        </c:dLbls>
        <c:gapWidth val="100"/>
        <c:overlap val="100"/>
        <c:serLines>
          <c:spPr>
            <a:ln w="9525" cap="flat" cmpd="sng" algn="ctr">
              <a:solidFill>
                <a:schemeClr val="tx1">
                  <a:lumMod val="35000"/>
                  <a:lumOff val="65000"/>
                </a:schemeClr>
              </a:solidFill>
              <a:round/>
            </a:ln>
            <a:effectLst/>
          </c:spPr>
        </c:serLines>
        <c:axId val="689123072"/>
        <c:axId val="689115856"/>
      </c:barChart>
      <c:catAx>
        <c:axId val="689123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crossAx val="689115856"/>
        <c:crosses val="autoZero"/>
        <c:auto val="1"/>
        <c:lblAlgn val="ctr"/>
        <c:lblOffset val="100"/>
        <c:noMultiLvlLbl val="0"/>
      </c:catAx>
      <c:valAx>
        <c:axId val="689115856"/>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nl-NL" sz="1600" baseline="0"/>
                  <a:t> Circulair Peil Index   CPI  [-]</a:t>
                </a:r>
                <a:endParaRPr lang="nl-NL"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title>
        <c:numFmt formatCode="0" sourceLinked="1"/>
        <c:majorTickMark val="out"/>
        <c:minorTickMark val="none"/>
        <c:tickLblPos val="nextTo"/>
        <c:spPr>
          <a:noFill/>
          <a:ln>
            <a:solidFill>
              <a:schemeClr val="bg1"/>
            </a:solid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8912307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r>
              <a:rPr lang="nl-NL" sz="1600" b="1"/>
              <a:t>Procesmonitor Circulaire Peiler</a:t>
            </a:r>
          </a:p>
          <a:p>
            <a:pPr algn="l">
              <a:defRPr sz="1600" b="1"/>
            </a:pPr>
            <a:r>
              <a:rPr lang="nl-NL" sz="1600" b="1"/>
              <a:t>CPI :</a:t>
            </a:r>
            <a:r>
              <a:rPr lang="nl-NL" sz="1600" b="1" baseline="0"/>
              <a:t> D</a:t>
            </a:r>
            <a:r>
              <a:rPr lang="nl-NL" sz="1600" b="1"/>
              <a:t>e 8 circulaire ontwerpprincipes</a:t>
            </a:r>
          </a:p>
        </c:rich>
      </c:tx>
      <c:layout>
        <c:manualLayout>
          <c:xMode val="edge"/>
          <c:yMode val="edge"/>
          <c:x val="0.18955827682422982"/>
          <c:y val="1.3285023071706547E-2"/>
        </c:manualLayout>
      </c:layout>
      <c:overlay val="0"/>
      <c:spPr>
        <a:noFill/>
        <a:ln>
          <a:noFill/>
        </a:ln>
        <a:effectLst/>
      </c:spPr>
      <c:txPr>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21125280475587238"/>
          <c:y val="0.14728383294882977"/>
          <c:w val="0.28643798074136634"/>
          <c:h val="0.78337073762213927"/>
        </c:manualLayout>
      </c:layout>
      <c:barChart>
        <c:barDir val="col"/>
        <c:grouping val="stacked"/>
        <c:varyColors val="0"/>
        <c:ser>
          <c:idx val="0"/>
          <c:order val="0"/>
          <c:tx>
            <c:strRef>
              <c:f>'invoer Basis'!$BZI$54</c:f>
              <c:strCache>
                <c:ptCount val="1"/>
                <c:pt idx="0">
                  <c:v>Voorkómen: niet doen wat echt niet hoeft</c:v>
                </c:pt>
              </c:strCache>
            </c:strRef>
          </c:tx>
          <c:spPr>
            <a:solidFill>
              <a:schemeClr val="accent1"/>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Basis'!$BZJ$54</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10-CE6E-4A6F-8E01-E11BC1086E41}"/>
            </c:ext>
          </c:extLst>
        </c:ser>
        <c:ser>
          <c:idx val="1"/>
          <c:order val="1"/>
          <c:tx>
            <c:strRef>
              <c:f>'invoer Basis'!$BZI$55</c:f>
              <c:strCache>
                <c:ptCount val="1"/>
                <c:pt idx="0">
                  <c:v>Verleng de levensduur van bestaande objecten of componenten</c:v>
                </c:pt>
              </c:strCache>
            </c:strRef>
          </c:tx>
          <c:spPr>
            <a:solidFill>
              <a:schemeClr val="accent2"/>
            </a:solidFill>
            <a:ln w="19050">
              <a:solidFill>
                <a:schemeClr val="lt1"/>
              </a:solidFill>
            </a:ln>
            <a:effectLst/>
          </c:spPr>
          <c:invertIfNegative val="0"/>
          <c:val>
            <c:numRef>
              <c:f>'invoer Basis'!$BZJ$55</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11-7368-4FD2-8B0C-1EFF4E03796B}"/>
            </c:ext>
          </c:extLst>
        </c:ser>
        <c:ser>
          <c:idx val="2"/>
          <c:order val="2"/>
          <c:tx>
            <c:strRef>
              <c:f>'invoer Basis'!$BZI$56</c:f>
              <c:strCache>
                <c:ptCount val="1"/>
                <c:pt idx="0">
                  <c:v>Duurzaam gebruik van bestaande objecten, materialen, grondstoffen en natuurlijke processen</c:v>
                </c:pt>
              </c:strCache>
            </c:strRef>
          </c:tx>
          <c:spPr>
            <a:solidFill>
              <a:schemeClr val="accent3"/>
            </a:solidFill>
            <a:ln w="19050">
              <a:solidFill>
                <a:schemeClr val="lt1"/>
              </a:solidFill>
            </a:ln>
            <a:effectLst/>
          </c:spPr>
          <c:invertIfNegative val="0"/>
          <c:val>
            <c:numRef>
              <c:f>'invoer Basis'!$BZJ$56</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12-7368-4FD2-8B0C-1EFF4E03796B}"/>
            </c:ext>
          </c:extLst>
        </c:ser>
        <c:ser>
          <c:idx val="3"/>
          <c:order val="3"/>
          <c:tx>
            <c:strRef>
              <c:f>'invoer Basis'!$BZI$57</c:f>
              <c:strCache>
                <c:ptCount val="1"/>
                <c:pt idx="0">
                  <c:v>Ontwerp voor meerdere levenscycli</c:v>
                </c:pt>
              </c:strCache>
            </c:strRef>
          </c:tx>
          <c:spPr>
            <a:solidFill>
              <a:schemeClr val="accent4"/>
            </a:solidFill>
            <a:ln w="19050">
              <a:solidFill>
                <a:schemeClr val="lt1"/>
              </a:solidFill>
            </a:ln>
            <a:effectLst/>
          </c:spPr>
          <c:invertIfNegative val="0"/>
          <c:val>
            <c:numRef>
              <c:f>'invoer Basis'!$BZJ$57</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13-7368-4FD2-8B0C-1EFF4E03796B}"/>
            </c:ext>
          </c:extLst>
        </c:ser>
        <c:ser>
          <c:idx val="4"/>
          <c:order val="4"/>
          <c:tx>
            <c:strRef>
              <c:f>'invoer Basis'!$BZI$58</c:f>
              <c:strCache>
                <c:ptCount val="1"/>
                <c:pt idx="0">
                  <c:v>Ontwerp toekomstbestendig</c:v>
                </c:pt>
              </c:strCache>
            </c:strRef>
          </c:tx>
          <c:spPr>
            <a:solidFill>
              <a:schemeClr val="accent5"/>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Basis'!$BZJ$58</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14-7368-4FD2-8B0C-1EFF4E03796B}"/>
            </c:ext>
          </c:extLst>
        </c:ser>
        <c:ser>
          <c:idx val="5"/>
          <c:order val="5"/>
          <c:tx>
            <c:strRef>
              <c:f>'invoer Basis'!$BZI$59</c:f>
              <c:strCache>
                <c:ptCount val="1"/>
                <c:pt idx="0">
                  <c:v>Ontwerp voor optimaal beheer en onderhoud </c:v>
                </c:pt>
              </c:strCache>
            </c:strRef>
          </c:tx>
          <c:spPr>
            <a:solidFill>
              <a:schemeClr val="accent6"/>
            </a:solidFill>
            <a:ln w="19050">
              <a:solidFill>
                <a:schemeClr val="lt1"/>
              </a:solidFill>
            </a:ln>
            <a:effectLst/>
          </c:spPr>
          <c:invertIfNegative val="0"/>
          <c:val>
            <c:numRef>
              <c:f>'invoer Basis'!$BZJ$59</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15-7368-4FD2-8B0C-1EFF4E03796B}"/>
            </c:ext>
          </c:extLst>
        </c:ser>
        <c:ser>
          <c:idx val="6"/>
          <c:order val="6"/>
          <c:tx>
            <c:strRef>
              <c:f>'invoer Basis'!$BZI$60</c:f>
              <c:strCache>
                <c:ptCount val="1"/>
                <c:pt idx="0">
                  <c:v>Duurzaam materiaalgebruik (hoeveel x milieubelasting)</c:v>
                </c:pt>
              </c:strCache>
            </c:strRef>
          </c:tx>
          <c:spPr>
            <a:solidFill>
              <a:schemeClr val="accent1">
                <a:lumMod val="60000"/>
              </a:schemeClr>
            </a:solidFill>
            <a:ln w="19050">
              <a:solidFill>
                <a:schemeClr val="lt1"/>
              </a:solidFill>
            </a:ln>
            <a:effectLst/>
          </c:spPr>
          <c:invertIfNegative val="0"/>
          <c:val>
            <c:numRef>
              <c:f>'invoer Basis'!$BZJ$60</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16-7368-4FD2-8B0C-1EFF4E03796B}"/>
            </c:ext>
          </c:extLst>
        </c:ser>
        <c:ser>
          <c:idx val="7"/>
          <c:order val="7"/>
          <c:tx>
            <c:strRef>
              <c:f>'invoer Basis'!$BZI$61</c:f>
              <c:strCache>
                <c:ptCount val="1"/>
                <c:pt idx="0">
                  <c:v>Ontwerp voor minimaal grondstof- en energiegebruik in de aanleg/gebruiksfase</c:v>
                </c:pt>
              </c:strCache>
            </c:strRef>
          </c:tx>
          <c:spPr>
            <a:solidFill>
              <a:schemeClr val="accent2">
                <a:lumMod val="60000"/>
              </a:schemeClr>
            </a:solidFill>
            <a:ln w="19050">
              <a:solidFill>
                <a:schemeClr val="lt1"/>
              </a:solidFill>
            </a:ln>
            <a:effectLst/>
          </c:spPr>
          <c:invertIfNegative val="0"/>
          <c:val>
            <c:numRef>
              <c:f>'invoer Basis'!$BZJ$61</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17-7368-4FD2-8B0C-1EFF4E03796B}"/>
            </c:ext>
          </c:extLst>
        </c:ser>
        <c:ser>
          <c:idx val="8"/>
          <c:order val="8"/>
          <c:tx>
            <c:strRef>
              <c:f>'invoer Basis'!$BZI$62</c:f>
              <c:strCache>
                <c:ptCount val="1"/>
                <c:pt idx="0">
                  <c:v>Rest</c:v>
                </c:pt>
              </c:strCache>
            </c:strRef>
          </c:tx>
          <c:spPr>
            <a:solidFill>
              <a:schemeClr val="accent3">
                <a:lumMod val="60000"/>
              </a:schemeClr>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Basis'!$BZJ$62</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18-7368-4FD2-8B0C-1EFF4E03796B}"/>
            </c:ext>
          </c:extLst>
        </c:ser>
        <c:dLbls>
          <c:showLegendKey val="0"/>
          <c:showVal val="0"/>
          <c:showCatName val="0"/>
          <c:showSerName val="0"/>
          <c:showPercent val="0"/>
          <c:showBubbleSize val="0"/>
        </c:dLbls>
        <c:gapWidth val="100"/>
        <c:overlap val="100"/>
        <c:axId val="620690952"/>
        <c:axId val="620694560"/>
      </c:barChart>
      <c:catAx>
        <c:axId val="6206909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crossAx val="620694560"/>
        <c:crosses val="autoZero"/>
        <c:auto val="1"/>
        <c:lblAlgn val="ctr"/>
        <c:lblOffset val="100"/>
        <c:noMultiLvlLbl val="0"/>
      </c:catAx>
      <c:valAx>
        <c:axId val="620694560"/>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r>
                  <a:rPr lang="nl-NL" sz="2400"/>
                  <a:t>Circulair Peil Index (CPI)  (max 100)</a:t>
                </a:r>
              </a:p>
            </c:rich>
          </c:tx>
          <c:overlay val="0"/>
          <c:spPr>
            <a:noFill/>
            <a:ln>
              <a:noFill/>
            </a:ln>
            <a:effectLst/>
          </c:spPr>
          <c:txPr>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endParaRPr lang="nl-NL"/>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20690952"/>
        <c:crosses val="autoZero"/>
        <c:crossBetween val="between"/>
        <c:majorUnit val="20"/>
      </c:valAx>
      <c:spPr>
        <a:gradFill>
          <a:gsLst>
            <a:gs pos="30000">
              <a:srgbClr val="FFFF00">
                <a:alpha val="50196"/>
              </a:srgbClr>
            </a:gs>
            <a:gs pos="20000">
              <a:srgbClr val="92D050">
                <a:alpha val="50196"/>
              </a:srgbClr>
            </a:gs>
            <a:gs pos="10000">
              <a:srgbClr val="00B050">
                <a:alpha val="50196"/>
              </a:srgbClr>
            </a:gs>
            <a:gs pos="40000">
              <a:srgbClr val="FFC000">
                <a:alpha val="50000"/>
              </a:srgbClr>
            </a:gs>
            <a:gs pos="5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nl-NL" sz="1800"/>
              <a:t>Referentiemonitor verbetering (reductie) Milieukosten / Circulariteit / CO2</a:t>
            </a:r>
          </a:p>
        </c:rich>
      </c:tx>
      <c:layout>
        <c:manualLayout>
          <c:xMode val="edge"/>
          <c:yMode val="edge"/>
          <c:x val="0.23003133202099738"/>
          <c:y val="2.7777880267646139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spPr>
            <a:solidFill>
              <a:schemeClr val="accent1"/>
            </a:solidFill>
            <a:ln>
              <a:solidFill>
                <a:srgbClr val="FFFFFF"/>
              </a:solidFill>
            </a:ln>
            <a:effectLst/>
          </c:spPr>
          <c:invertIfNegative val="0"/>
          <c:dPt>
            <c:idx val="0"/>
            <c:invertIfNegative val="0"/>
            <c:bubble3D val="0"/>
            <c:spPr>
              <a:solidFill>
                <a:srgbClr val="92D050"/>
              </a:solidFill>
              <a:ln>
                <a:solidFill>
                  <a:srgbClr val="FFFFFF"/>
                </a:solidFill>
              </a:ln>
              <a:effectLst/>
            </c:spPr>
            <c:extLst>
              <c:ext xmlns:c16="http://schemas.microsoft.com/office/drawing/2014/chart" uri="{C3380CC4-5D6E-409C-BE32-E72D297353CC}">
                <c16:uniqueId val="{00000003-3B5E-4FAE-BBE6-7763257DE1E1}"/>
              </c:ext>
            </c:extLst>
          </c:dPt>
          <c:dPt>
            <c:idx val="1"/>
            <c:invertIfNegative val="0"/>
            <c:bubble3D val="0"/>
            <c:spPr>
              <a:solidFill>
                <a:srgbClr val="00B0F0"/>
              </a:solidFill>
              <a:ln>
                <a:solidFill>
                  <a:srgbClr val="FFFFFF"/>
                </a:solidFill>
              </a:ln>
              <a:effectLst/>
            </c:spPr>
            <c:extLst>
              <c:ext xmlns:c16="http://schemas.microsoft.com/office/drawing/2014/chart" uri="{C3380CC4-5D6E-409C-BE32-E72D297353CC}">
                <c16:uniqueId val="{00000002-3B5E-4FAE-BBE6-7763257DE1E1}"/>
              </c:ext>
            </c:extLst>
          </c:dPt>
          <c:dPt>
            <c:idx val="2"/>
            <c:invertIfNegative val="0"/>
            <c:bubble3D val="0"/>
            <c:spPr>
              <a:solidFill>
                <a:srgbClr val="FF0000"/>
              </a:solidFill>
              <a:ln>
                <a:solidFill>
                  <a:srgbClr val="FFFFFF"/>
                </a:solidFill>
              </a:ln>
              <a:effectLst/>
            </c:spPr>
            <c:extLst>
              <c:ext xmlns:c16="http://schemas.microsoft.com/office/drawing/2014/chart" uri="{C3380CC4-5D6E-409C-BE32-E72D297353CC}">
                <c16:uniqueId val="{00000001-3B5E-4FAE-BBE6-7763257DE1E1}"/>
              </c:ext>
            </c:extLst>
          </c:dPt>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Basis'!$AN$67,'invoer Basis'!$AN$71,'invoer Basis'!$AN$75)</c:f>
              <c:strCache>
                <c:ptCount val="3"/>
                <c:pt idx="0">
                  <c:v>MKI reductie t.o.v. referentie € </c:v>
                </c:pt>
                <c:pt idx="1">
                  <c:v>MCI reductie t.o.v. referentie  [-]</c:v>
                </c:pt>
                <c:pt idx="2">
                  <c:v>CO2 reductie t.o.v. referentie  tonCO2</c:v>
                </c:pt>
              </c:strCache>
            </c:strRef>
          </c:cat>
          <c:val>
            <c:numRef>
              <c:f>('invoer Basis'!$AP$67,'invoer Basis'!$AP$71,'invoer Basis'!$AP$75)</c:f>
              <c:numCache>
                <c:formatCode>0%</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24-331F-4ED3-B2D7-E85F9ABAD9F6}"/>
            </c:ext>
          </c:extLst>
        </c:ser>
        <c:ser>
          <c:idx val="1"/>
          <c:order val="1"/>
          <c:spPr>
            <a:solidFill>
              <a:srgbClr val="FFFFFF">
                <a:alpha val="30196"/>
              </a:srgbClr>
            </a:solidFill>
            <a:ln>
              <a:solidFill>
                <a:srgbClr val="FFFFFF">
                  <a:alpha val="0"/>
                </a:srgbClr>
              </a:solidFill>
            </a:ln>
            <a:effectLst/>
          </c:spPr>
          <c:invertIfNegative val="0"/>
          <c:cat>
            <c:strRef>
              <c:f>('invoer Basis'!$AN$67,'invoer Basis'!$AN$71,'invoer Basis'!$AN$75)</c:f>
              <c:strCache>
                <c:ptCount val="3"/>
                <c:pt idx="0">
                  <c:v>MKI reductie t.o.v. referentie € </c:v>
                </c:pt>
                <c:pt idx="1">
                  <c:v>MCI reductie t.o.v. referentie  [-]</c:v>
                </c:pt>
                <c:pt idx="2">
                  <c:v>CO2 reductie t.o.v. referentie  tonCO2</c:v>
                </c:pt>
              </c:strCache>
            </c:strRef>
          </c:cat>
          <c:val>
            <c:numRef>
              <c:f>('invoer Basis'!$AO$67,'invoer Basis'!$AO$71,'invoer Basis'!$AO$75)</c:f>
            </c:numRef>
          </c:val>
          <c:extLst xmlns:c15="http://schemas.microsoft.com/office/drawing/2012/chart">
            <c:ext xmlns:c16="http://schemas.microsoft.com/office/drawing/2014/chart" uri="{C3380CC4-5D6E-409C-BE32-E72D297353CC}">
              <c16:uniqueId val="{00000025-331F-4ED3-B2D7-E85F9ABAD9F6}"/>
            </c:ext>
          </c:extLst>
        </c:ser>
        <c:dLbls>
          <c:showLegendKey val="0"/>
          <c:showVal val="0"/>
          <c:showCatName val="0"/>
          <c:showSerName val="0"/>
          <c:showPercent val="0"/>
          <c:showBubbleSize val="0"/>
        </c:dLbls>
        <c:gapWidth val="50"/>
        <c:overlap val="10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nl-NL" sz="1600" baseline="0"/>
                  <a:t> Reductie MKI / Circulariteit / CO2 [%]</a:t>
                </a:r>
                <a:endParaRPr lang="nl-NL"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gradFill>
          <a:gsLst>
            <a:gs pos="60000">
              <a:srgbClr val="FFFF00">
                <a:alpha val="50196"/>
              </a:srgbClr>
            </a:gs>
            <a:gs pos="29000">
              <a:srgbClr val="92D050">
                <a:alpha val="50196"/>
              </a:srgbClr>
            </a:gs>
            <a:gs pos="10000">
              <a:srgbClr val="00B050">
                <a:alpha val="50196"/>
              </a:srgbClr>
            </a:gs>
            <a:gs pos="70000">
              <a:srgbClr val="FFC000">
                <a:alpha val="50000"/>
              </a:srgbClr>
            </a:gs>
            <a:gs pos="8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Procesmonitor Circulaire Peiler </a:t>
            </a:r>
          </a:p>
        </c:rich>
      </c:tx>
      <c:layout>
        <c:manualLayout>
          <c:xMode val="edge"/>
          <c:yMode val="edge"/>
          <c:x val="0.21479672880644757"/>
          <c:y val="0"/>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30726632190985825"/>
          <c:y val="8.0681475924485352E-2"/>
          <c:w val="0.64515478636158052"/>
          <c:h val="0.84373596849922305"/>
        </c:manualLayout>
      </c:layout>
      <c:barChart>
        <c:barDir val="col"/>
        <c:grouping val="stacked"/>
        <c:varyColors val="0"/>
        <c:ser>
          <c:idx val="0"/>
          <c:order val="0"/>
          <c:tx>
            <c:strRef>
              <c:f>'print Basis'!$D$18</c:f>
              <c:strCache>
                <c:ptCount val="1"/>
                <c:pt idx="0">
                  <c:v>Voorkómen: niet doen wat echt niet hoeft</c:v>
                </c:pt>
              </c:strCache>
            </c:strRef>
          </c:tx>
          <c:spPr>
            <a:solidFill>
              <a:schemeClr val="tx1">
                <a:lumMod val="75000"/>
                <a:lumOff val="25000"/>
              </a:schemeClr>
            </a:solidFill>
            <a:ln w="3175">
              <a:solidFill>
                <a:schemeClr val="lt1"/>
              </a:solidFill>
            </a:ln>
            <a:effectLst/>
          </c:spPr>
          <c:invertIfNegative val="0"/>
          <c:dPt>
            <c:idx val="1"/>
            <c:invertIfNegative val="0"/>
            <c:bubble3D val="0"/>
            <c:explosion val="1"/>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3-C068-42C2-979D-115D92EAC890}"/>
              </c:ext>
            </c:extLst>
          </c:dPt>
          <c:dPt>
            <c:idx val="2"/>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5-C068-42C2-979D-115D92EAC890}"/>
              </c:ext>
            </c:extLst>
          </c:dPt>
          <c:dPt>
            <c:idx val="3"/>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7-C068-42C2-979D-115D92EAC890}"/>
              </c:ext>
            </c:extLst>
          </c:dPt>
          <c:dPt>
            <c:idx val="5"/>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B-C068-42C2-979D-115D92EAC890}"/>
              </c:ext>
            </c:extLst>
          </c:dPt>
          <c:dPt>
            <c:idx val="6"/>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D-C068-42C2-979D-115D92EAC890}"/>
              </c:ext>
            </c:extLst>
          </c:dPt>
          <c:dPt>
            <c:idx val="7"/>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F-F9D8-4CAA-9D53-F781E0252D27}"/>
              </c:ext>
            </c:extLst>
          </c:dPt>
          <c:dPt>
            <c:idx val="8"/>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F-FBD6-4FBB-B7D4-A7352554FE6D}"/>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Basis'!$G$10</c:f>
              <c:strCache>
                <c:ptCount val="1"/>
                <c:pt idx="0">
                  <c:v>invoer Basis</c:v>
                </c:pt>
              </c:strCache>
            </c:strRef>
          </c:cat>
          <c:val>
            <c:numRef>
              <c:f>'print Basis'!$Q$18</c:f>
              <c:numCache>
                <c:formatCode>0.0</c:formatCode>
                <c:ptCount val="1"/>
                <c:pt idx="0">
                  <c:v>0</c:v>
                </c:pt>
              </c:numCache>
            </c:numRef>
          </c:val>
          <c:extLst>
            <c:ext xmlns:c16="http://schemas.microsoft.com/office/drawing/2014/chart" uri="{C3380CC4-5D6E-409C-BE32-E72D297353CC}">
              <c16:uniqueId val="{00000012-C068-42C2-979D-115D92EAC890}"/>
            </c:ext>
          </c:extLst>
        </c:ser>
        <c:ser>
          <c:idx val="1"/>
          <c:order val="1"/>
          <c:tx>
            <c:strRef>
              <c:f>'print Basis'!$D$20</c:f>
              <c:strCache>
                <c:ptCount val="1"/>
                <c:pt idx="0">
                  <c:v>Verleng de levensduur van bestaande objecten of componenten</c:v>
                </c:pt>
              </c:strCache>
            </c:strRef>
          </c:tx>
          <c:spPr>
            <a:solidFill>
              <a:srgbClr val="FF0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Basis'!$G$10</c:f>
              <c:strCache>
                <c:ptCount val="1"/>
                <c:pt idx="0">
                  <c:v>invoer Basis</c:v>
                </c:pt>
              </c:strCache>
            </c:strRef>
          </c:cat>
          <c:val>
            <c:numRef>
              <c:f>'print Basis'!$Q$20</c:f>
              <c:numCache>
                <c:formatCode>0.0</c:formatCode>
                <c:ptCount val="1"/>
                <c:pt idx="0">
                  <c:v>0</c:v>
                </c:pt>
              </c:numCache>
            </c:numRef>
          </c:val>
          <c:extLst>
            <c:ext xmlns:c16="http://schemas.microsoft.com/office/drawing/2014/chart" uri="{C3380CC4-5D6E-409C-BE32-E72D297353CC}">
              <c16:uniqueId val="{0000000F-B4FC-41E0-BEFF-4A90B752FDE6}"/>
            </c:ext>
          </c:extLst>
        </c:ser>
        <c:ser>
          <c:idx val="2"/>
          <c:order val="2"/>
          <c:tx>
            <c:strRef>
              <c:f>'print Basis'!$D$22</c:f>
              <c:strCache>
                <c:ptCount val="1"/>
                <c:pt idx="0">
                  <c:v>Duurzaam gebruik van bestaande objecten, materialen, grondstoffen en natuurlijke processen</c:v>
                </c:pt>
              </c:strCache>
            </c:strRef>
          </c:tx>
          <c:spPr>
            <a:solidFill>
              <a:srgbClr val="00B05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Basis'!$G$10</c:f>
              <c:strCache>
                <c:ptCount val="1"/>
                <c:pt idx="0">
                  <c:v>invoer Basis</c:v>
                </c:pt>
              </c:strCache>
            </c:strRef>
          </c:cat>
          <c:val>
            <c:numRef>
              <c:f>'print Basis'!$Q$22</c:f>
              <c:numCache>
                <c:formatCode>0.0</c:formatCode>
                <c:ptCount val="1"/>
                <c:pt idx="0">
                  <c:v>0</c:v>
                </c:pt>
              </c:numCache>
            </c:numRef>
          </c:val>
          <c:extLst>
            <c:ext xmlns:c16="http://schemas.microsoft.com/office/drawing/2014/chart" uri="{C3380CC4-5D6E-409C-BE32-E72D297353CC}">
              <c16:uniqueId val="{00000010-B4FC-41E0-BEFF-4A90B752FDE6}"/>
            </c:ext>
          </c:extLst>
        </c:ser>
        <c:ser>
          <c:idx val="3"/>
          <c:order val="3"/>
          <c:tx>
            <c:strRef>
              <c:f>'print Basis'!$D$26</c:f>
              <c:strCache>
                <c:ptCount val="1"/>
                <c:pt idx="0">
                  <c:v>Ontwerp voor meerdere levenscycli</c:v>
                </c:pt>
              </c:strCache>
            </c:strRef>
          </c:tx>
          <c:spPr>
            <a:solidFill>
              <a:srgbClr val="FFC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Basis'!$G$10</c:f>
              <c:strCache>
                <c:ptCount val="1"/>
                <c:pt idx="0">
                  <c:v>invoer Basis</c:v>
                </c:pt>
              </c:strCache>
            </c:strRef>
          </c:cat>
          <c:val>
            <c:numRef>
              <c:f>'print Basis'!$Q$26</c:f>
              <c:numCache>
                <c:formatCode>0.0</c:formatCode>
                <c:ptCount val="1"/>
                <c:pt idx="0">
                  <c:v>0</c:v>
                </c:pt>
              </c:numCache>
            </c:numRef>
          </c:val>
          <c:extLst>
            <c:ext xmlns:c16="http://schemas.microsoft.com/office/drawing/2014/chart" uri="{C3380CC4-5D6E-409C-BE32-E72D297353CC}">
              <c16:uniqueId val="{00000011-B4FC-41E0-BEFF-4A90B752FDE6}"/>
            </c:ext>
          </c:extLst>
        </c:ser>
        <c:ser>
          <c:idx val="4"/>
          <c:order val="4"/>
          <c:tx>
            <c:strRef>
              <c:f>'print Basis'!$D$29</c:f>
              <c:strCache>
                <c:ptCount val="1"/>
                <c:pt idx="0">
                  <c:v>Ontwerp toekomstbestendig</c:v>
                </c:pt>
              </c:strCache>
            </c:strRef>
          </c:tx>
          <c:spPr>
            <a:solidFill>
              <a:srgbClr val="000099"/>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Basis'!$G$10</c:f>
              <c:strCache>
                <c:ptCount val="1"/>
                <c:pt idx="0">
                  <c:v>invoer Basis</c:v>
                </c:pt>
              </c:strCache>
            </c:strRef>
          </c:cat>
          <c:val>
            <c:numRef>
              <c:f>'print Basis'!$Q$29</c:f>
              <c:numCache>
                <c:formatCode>0.0</c:formatCode>
                <c:ptCount val="1"/>
                <c:pt idx="0">
                  <c:v>0</c:v>
                </c:pt>
              </c:numCache>
            </c:numRef>
          </c:val>
          <c:extLst>
            <c:ext xmlns:c16="http://schemas.microsoft.com/office/drawing/2014/chart" uri="{C3380CC4-5D6E-409C-BE32-E72D297353CC}">
              <c16:uniqueId val="{00000012-B4FC-41E0-BEFF-4A90B752FDE6}"/>
            </c:ext>
          </c:extLst>
        </c:ser>
        <c:ser>
          <c:idx val="5"/>
          <c:order val="5"/>
          <c:tx>
            <c:strRef>
              <c:f>'print Basis'!$D$31</c:f>
              <c:strCache>
                <c:ptCount val="1"/>
                <c:pt idx="0">
                  <c:v>Ontwerp voor optimaal beheer en onderhoud </c:v>
                </c:pt>
              </c:strCache>
            </c:strRef>
          </c:tx>
          <c:spPr>
            <a:solidFill>
              <a:srgbClr val="6666FF"/>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Basis'!$G$10</c:f>
              <c:strCache>
                <c:ptCount val="1"/>
                <c:pt idx="0">
                  <c:v>invoer Basis</c:v>
                </c:pt>
              </c:strCache>
            </c:strRef>
          </c:cat>
          <c:val>
            <c:numRef>
              <c:f>'print Basis'!$Q$31</c:f>
              <c:numCache>
                <c:formatCode>0.0</c:formatCode>
                <c:ptCount val="1"/>
                <c:pt idx="0">
                  <c:v>0</c:v>
                </c:pt>
              </c:numCache>
            </c:numRef>
          </c:val>
          <c:extLst>
            <c:ext xmlns:c16="http://schemas.microsoft.com/office/drawing/2014/chart" uri="{C3380CC4-5D6E-409C-BE32-E72D297353CC}">
              <c16:uniqueId val="{00000016-B4FC-41E0-BEFF-4A90B752FDE6}"/>
            </c:ext>
          </c:extLst>
        </c:ser>
        <c:ser>
          <c:idx val="6"/>
          <c:order val="6"/>
          <c:tx>
            <c:strRef>
              <c:f>'print Basis'!$D$33</c:f>
              <c:strCache>
                <c:ptCount val="1"/>
                <c:pt idx="0">
                  <c:v>Duurzaam materiaalgebruik (hoeveel x milieubelasting)</c:v>
                </c:pt>
              </c:strCache>
            </c:strRef>
          </c:tx>
          <c:spPr>
            <a:solidFill>
              <a:srgbClr val="FF66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Basis'!$G$10</c:f>
              <c:strCache>
                <c:ptCount val="1"/>
                <c:pt idx="0">
                  <c:v>invoer Basis</c:v>
                </c:pt>
              </c:strCache>
            </c:strRef>
          </c:cat>
          <c:val>
            <c:numRef>
              <c:f>'print Basis'!$Q$33</c:f>
              <c:numCache>
                <c:formatCode>0.0</c:formatCode>
                <c:ptCount val="1"/>
                <c:pt idx="0">
                  <c:v>0</c:v>
                </c:pt>
              </c:numCache>
            </c:numRef>
          </c:val>
          <c:extLst>
            <c:ext xmlns:c16="http://schemas.microsoft.com/office/drawing/2014/chart" uri="{C3380CC4-5D6E-409C-BE32-E72D297353CC}">
              <c16:uniqueId val="{00000017-B4FC-41E0-BEFF-4A90B752FDE6}"/>
            </c:ext>
          </c:extLst>
        </c:ser>
        <c:ser>
          <c:idx val="7"/>
          <c:order val="7"/>
          <c:tx>
            <c:strRef>
              <c:f>'print Basis'!$D$36</c:f>
              <c:strCache>
                <c:ptCount val="1"/>
                <c:pt idx="0">
                  <c:v>Ontwerp voor minimaal grondstof- en energiegebruik in de aanleg/gebruiksfase</c:v>
                </c:pt>
              </c:strCache>
            </c:strRef>
          </c:tx>
          <c:spPr>
            <a:solidFill>
              <a:srgbClr val="C00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Basis'!$G$10</c:f>
              <c:strCache>
                <c:ptCount val="1"/>
                <c:pt idx="0">
                  <c:v>invoer Basis</c:v>
                </c:pt>
              </c:strCache>
            </c:strRef>
          </c:cat>
          <c:val>
            <c:numRef>
              <c:f>'print Basis'!$Q$36</c:f>
              <c:numCache>
                <c:formatCode>0.0</c:formatCode>
                <c:ptCount val="1"/>
                <c:pt idx="0">
                  <c:v>0</c:v>
                </c:pt>
              </c:numCache>
            </c:numRef>
          </c:val>
          <c:extLst>
            <c:ext xmlns:c16="http://schemas.microsoft.com/office/drawing/2014/chart" uri="{C3380CC4-5D6E-409C-BE32-E72D297353CC}">
              <c16:uniqueId val="{00000018-B4FC-41E0-BEFF-4A90B752FDE6}"/>
            </c:ext>
          </c:extLst>
        </c:ser>
        <c:ser>
          <c:idx val="8"/>
          <c:order val="8"/>
          <c:tx>
            <c:strRef>
              <c:f>'print Basis'!$C$39</c:f>
              <c:strCache>
                <c:ptCount val="1"/>
                <c:pt idx="0">
                  <c:v>bonus</c:v>
                </c:pt>
              </c:strCache>
            </c:strRef>
          </c:tx>
          <c:spPr>
            <a:pattFill prst="ltDnDiag">
              <a:fgClr>
                <a:schemeClr val="bg1">
                  <a:lumMod val="65000"/>
                </a:schemeClr>
              </a:fgClr>
              <a:bgClr>
                <a:schemeClr val="bg1"/>
              </a:bgClr>
            </a:patt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Basis'!$G$10</c:f>
              <c:strCache>
                <c:ptCount val="1"/>
                <c:pt idx="0">
                  <c:v>invoer Basis</c:v>
                </c:pt>
              </c:strCache>
            </c:strRef>
          </c:cat>
          <c:val>
            <c:numRef>
              <c:f>'print Basis'!$Q$39</c:f>
              <c:numCache>
                <c:formatCode>0.0</c:formatCode>
                <c:ptCount val="1"/>
                <c:pt idx="0">
                  <c:v>0</c:v>
                </c:pt>
              </c:numCache>
            </c:numRef>
          </c:val>
          <c:extLst>
            <c:ext xmlns:c16="http://schemas.microsoft.com/office/drawing/2014/chart" uri="{C3380CC4-5D6E-409C-BE32-E72D297353CC}">
              <c16:uniqueId val="{00000019-B4FC-41E0-BEFF-4A90B752FDE6}"/>
            </c:ext>
          </c:extLst>
        </c:ser>
        <c:ser>
          <c:idx val="9"/>
          <c:order val="9"/>
          <c:tx>
            <c:strRef>
              <c:f>'print Basis'!$D$41</c:f>
              <c:strCache>
                <c:ptCount val="1"/>
              </c:strCache>
            </c:strRef>
          </c:tx>
          <c:spPr>
            <a:solidFill>
              <a:srgbClr val="FFFFFF">
                <a:alpha val="30000"/>
              </a:srgbClr>
            </a:solidFill>
            <a:ln w="19050">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1" u="none" strike="noStrike" kern="1200" baseline="0">
                    <a:solidFill>
                      <a:schemeClr val="bg1">
                        <a:lumMod val="7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Basis'!$G$10</c:f>
              <c:strCache>
                <c:ptCount val="1"/>
                <c:pt idx="0">
                  <c:v>invoer Basis</c:v>
                </c:pt>
              </c:strCache>
            </c:strRef>
          </c:cat>
          <c:val>
            <c:numRef>
              <c:f>'print Basis'!$Q$41</c:f>
              <c:numCache>
                <c:formatCode>0</c:formatCode>
                <c:ptCount val="1"/>
                <c:pt idx="0">
                  <c:v>0</c:v>
                </c:pt>
              </c:numCache>
            </c:numRef>
          </c:val>
          <c:extLst>
            <c:ext xmlns:c16="http://schemas.microsoft.com/office/drawing/2014/chart" uri="{C3380CC4-5D6E-409C-BE32-E72D297353CC}">
              <c16:uniqueId val="{0000001A-B4FC-41E0-BEFF-4A90B752FDE6}"/>
            </c:ext>
          </c:extLst>
        </c:ser>
        <c:dLbls>
          <c:showLegendKey val="0"/>
          <c:showVal val="0"/>
          <c:showCatName val="0"/>
          <c:showSerName val="0"/>
          <c:showPercent val="0"/>
          <c:showBubbleSize val="0"/>
        </c:dLbls>
        <c:gapWidth val="100"/>
        <c:overlap val="100"/>
        <c:axId val="620689312"/>
        <c:axId val="620691280"/>
      </c:barChart>
      <c:catAx>
        <c:axId val="62068931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endParaRPr lang="nl-NL"/>
          </a:p>
        </c:txPr>
        <c:crossAx val="620691280"/>
        <c:crosses val="autoZero"/>
        <c:auto val="1"/>
        <c:lblAlgn val="ctr"/>
        <c:lblOffset val="100"/>
        <c:noMultiLvlLbl val="0"/>
      </c:catAx>
      <c:valAx>
        <c:axId val="620691280"/>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nl-NL" sz="1400"/>
                  <a:t>Circulair Peil Index (CPI)</a:t>
                </a:r>
                <a:r>
                  <a:rPr lang="nl-NL" sz="1400" baseline="0"/>
                  <a:t>  (max 100)</a:t>
                </a:r>
                <a:endParaRPr lang="nl-NL" sz="1400"/>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620689312"/>
        <c:crosses val="autoZero"/>
        <c:crossBetween val="between"/>
        <c:majorUnit val="20"/>
      </c:valAx>
      <c:spPr>
        <a:gradFill>
          <a:gsLst>
            <a:gs pos="25000">
              <a:srgbClr val="FFFF00">
                <a:alpha val="30000"/>
              </a:srgbClr>
            </a:gs>
            <a:gs pos="15000">
              <a:srgbClr val="92D050">
                <a:alpha val="30000"/>
              </a:srgbClr>
            </a:gs>
            <a:gs pos="5000">
              <a:srgbClr val="00B050">
                <a:alpha val="30000"/>
              </a:srgbClr>
            </a:gs>
            <a:gs pos="33000">
              <a:srgbClr val="FFC000">
                <a:alpha val="30000"/>
              </a:srgbClr>
            </a:gs>
            <a:gs pos="43000">
              <a:srgbClr val="FF0000">
                <a:alpha val="30000"/>
              </a:srgbClr>
            </a:gs>
            <a:gs pos="100000">
              <a:srgbClr val="C00000">
                <a:alpha val="3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sz="1400"/>
              <a:t>Referentiemonitor Reductie Milieukosten / Circulariteit / CO2</a:t>
            </a:r>
          </a:p>
        </c:rich>
      </c:tx>
      <c:layout>
        <c:manualLayout>
          <c:xMode val="edge"/>
          <c:yMode val="edge"/>
          <c:x val="0.23003133202099738"/>
          <c:y val="2.7777880267646139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spPr>
            <a:solidFill>
              <a:schemeClr val="accent1"/>
            </a:solidFill>
            <a:ln>
              <a:solidFill>
                <a:srgbClr val="FFFFFF"/>
              </a:solidFill>
            </a:ln>
            <a:effectLst/>
          </c:spPr>
          <c:invertIfNegative val="0"/>
          <c:dPt>
            <c:idx val="0"/>
            <c:invertIfNegative val="0"/>
            <c:bubble3D val="0"/>
            <c:spPr>
              <a:solidFill>
                <a:srgbClr val="92D050"/>
              </a:solidFill>
              <a:ln>
                <a:solidFill>
                  <a:srgbClr val="FFFFFF"/>
                </a:solidFill>
              </a:ln>
              <a:effectLst/>
            </c:spPr>
            <c:extLst>
              <c:ext xmlns:c16="http://schemas.microsoft.com/office/drawing/2014/chart" uri="{C3380CC4-5D6E-409C-BE32-E72D297353CC}">
                <c16:uniqueId val="{00000001-C1E8-4D78-A46E-E840A7D17483}"/>
              </c:ext>
            </c:extLst>
          </c:dPt>
          <c:dPt>
            <c:idx val="1"/>
            <c:invertIfNegative val="0"/>
            <c:bubble3D val="0"/>
            <c:spPr>
              <a:solidFill>
                <a:srgbClr val="00B0F0"/>
              </a:solidFill>
              <a:ln>
                <a:solidFill>
                  <a:srgbClr val="FFFFFF"/>
                </a:solidFill>
              </a:ln>
              <a:effectLst/>
            </c:spPr>
            <c:extLst>
              <c:ext xmlns:c16="http://schemas.microsoft.com/office/drawing/2014/chart" uri="{C3380CC4-5D6E-409C-BE32-E72D297353CC}">
                <c16:uniqueId val="{00000003-C1E8-4D78-A46E-E840A7D17483}"/>
              </c:ext>
            </c:extLst>
          </c:dPt>
          <c:dPt>
            <c:idx val="2"/>
            <c:invertIfNegative val="0"/>
            <c:bubble3D val="0"/>
            <c:spPr>
              <a:solidFill>
                <a:srgbClr val="FF0000"/>
              </a:solidFill>
              <a:ln>
                <a:solidFill>
                  <a:srgbClr val="FFFFFF"/>
                </a:solidFill>
              </a:ln>
              <a:effectLst/>
            </c:spPr>
            <c:extLst>
              <c:ext xmlns:c16="http://schemas.microsoft.com/office/drawing/2014/chart" uri="{C3380CC4-5D6E-409C-BE32-E72D297353CC}">
                <c16:uniqueId val="{00000005-C1E8-4D78-A46E-E840A7D17483}"/>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('invoer Basis'!$AN$67,'invoer Basis'!$AN$71,'invoer Basis'!$AN$75)</c:f>
              <c:strCache>
                <c:ptCount val="3"/>
                <c:pt idx="0">
                  <c:v>MKI reductie t.o.v. referentie € </c:v>
                </c:pt>
                <c:pt idx="1">
                  <c:v>MCI reductie t.o.v. referentie  [-]</c:v>
                </c:pt>
                <c:pt idx="2">
                  <c:v>CO2 reductie t.o.v. referentie  tonCO2</c:v>
                </c:pt>
              </c:strCache>
            </c:strRef>
          </c:cat>
          <c:val>
            <c:numRef>
              <c:f>('invoer Basis'!$AP$67,'invoer Basis'!$AP$71,'invoer Basis'!$AP$75)</c:f>
              <c:numCache>
                <c:formatCode>0%</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6-C1E8-4D78-A46E-E840A7D17483}"/>
            </c:ext>
          </c:extLst>
        </c:ser>
        <c:ser>
          <c:idx val="1"/>
          <c:order val="1"/>
          <c:spPr>
            <a:solidFill>
              <a:srgbClr val="FFFFFF">
                <a:alpha val="30196"/>
              </a:srgbClr>
            </a:solidFill>
            <a:ln>
              <a:solidFill>
                <a:srgbClr val="FFFFFF">
                  <a:alpha val="0"/>
                </a:srgbClr>
              </a:solidFill>
            </a:ln>
            <a:effectLst/>
          </c:spPr>
          <c:invertIfNegative val="0"/>
          <c:cat>
            <c:strRef>
              <c:f>('invoer Basis'!$AN$67,'invoer Basis'!$AN$71,'invoer Basis'!$AN$75)</c:f>
              <c:strCache>
                <c:ptCount val="3"/>
                <c:pt idx="0">
                  <c:v>MKI reductie t.o.v. referentie € </c:v>
                </c:pt>
                <c:pt idx="1">
                  <c:v>MCI reductie t.o.v. referentie  [-]</c:v>
                </c:pt>
                <c:pt idx="2">
                  <c:v>CO2 reductie t.o.v. referentie  tonCO2</c:v>
                </c:pt>
              </c:strCache>
            </c:strRef>
          </c:cat>
          <c:val>
            <c:numRef>
              <c:f>('invoer Basis'!$AO$67,'invoer Basis'!$AO$71,'invoer Basis'!$AO$75)</c:f>
            </c:numRef>
          </c:val>
          <c:extLst xmlns:c15="http://schemas.microsoft.com/office/drawing/2012/chart">
            <c:ext xmlns:c16="http://schemas.microsoft.com/office/drawing/2014/chart" uri="{C3380CC4-5D6E-409C-BE32-E72D297353CC}">
              <c16:uniqueId val="{00000007-C1E8-4D78-A46E-E840A7D17483}"/>
            </c:ext>
          </c:extLst>
        </c:ser>
        <c:dLbls>
          <c:showLegendKey val="0"/>
          <c:showVal val="0"/>
          <c:showCatName val="0"/>
          <c:showSerName val="0"/>
          <c:showPercent val="0"/>
          <c:showBubbleSize val="0"/>
        </c:dLbls>
        <c:gapWidth val="50"/>
        <c:overlap val="10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nl-NL" sz="1400" baseline="0"/>
                  <a:t> Reductie MKI / MCI / CO2 [%]</a:t>
                </a:r>
                <a:endParaRPr lang="nl-NL" sz="1400"/>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gradFill>
          <a:gsLst>
            <a:gs pos="60000">
              <a:srgbClr val="FFFF00">
                <a:alpha val="50196"/>
              </a:srgbClr>
            </a:gs>
            <a:gs pos="29000">
              <a:srgbClr val="92D050">
                <a:alpha val="50196"/>
              </a:srgbClr>
            </a:gs>
            <a:gs pos="10000">
              <a:srgbClr val="00B050">
                <a:alpha val="50196"/>
              </a:srgbClr>
            </a:gs>
            <a:gs pos="70000">
              <a:srgbClr val="FFC000">
                <a:alpha val="50000"/>
              </a:srgbClr>
            </a:gs>
            <a:gs pos="8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Referentiemonitor Reductie Milieukosten t.o.v.</a:t>
            </a:r>
            <a:r>
              <a:rPr lang="nl-NL" baseline="0"/>
              <a:t> referentie</a:t>
            </a:r>
            <a:endParaRPr lang="nl-NL"/>
          </a:p>
        </c:rich>
      </c:tx>
      <c:layout>
        <c:manualLayout>
          <c:xMode val="edge"/>
          <c:yMode val="edge"/>
          <c:x val="0.18794206233243724"/>
          <c:y val="9.553831563381781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17935088446475286"/>
          <c:y val="8.0787158936726639E-2"/>
          <c:w val="0.8012571595462421"/>
          <c:h val="0.85589290757686853"/>
        </c:manualLayout>
      </c:layout>
      <c:barChart>
        <c:barDir val="col"/>
        <c:grouping val="clustered"/>
        <c:varyColors val="0"/>
        <c:ser>
          <c:idx val="1"/>
          <c:order val="0"/>
          <c:tx>
            <c:strRef>
              <c:f>'info vergelijk'!$C$74</c:f>
              <c:strCache>
                <c:ptCount val="1"/>
                <c:pt idx="0">
                  <c:v>MKI reductie</c:v>
                </c:pt>
              </c:strCache>
            </c:strRef>
          </c:tx>
          <c:spPr>
            <a:solidFill>
              <a:srgbClr val="92D05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nl-N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vergelijk'!$D$74:$M$74</c15:sqref>
                  </c15:fullRef>
                </c:ext>
              </c:extLst>
              <c:f>'info vergelijk'!$D$74:$H$74</c:f>
              <c:numCache>
                <c:formatCode>0%</c:formatCode>
                <c:ptCount val="5"/>
                <c:pt idx="0">
                  <c:v>0</c:v>
                </c:pt>
                <c:pt idx="1">
                  <c:v>0</c:v>
                </c:pt>
                <c:pt idx="2">
                  <c:v>0</c:v>
                </c:pt>
                <c:pt idx="3">
                  <c:v>0</c:v>
                </c:pt>
                <c:pt idx="4">
                  <c:v>0</c:v>
                </c:pt>
              </c:numCache>
            </c:numRef>
          </c:val>
          <c:extLst xmlns:c15="http://schemas.microsoft.com/office/drawing/2012/chart">
            <c:ext xmlns:c16="http://schemas.microsoft.com/office/drawing/2014/chart" uri="{C3380CC4-5D6E-409C-BE32-E72D297353CC}">
              <c16:uniqueId val="{0000001E-B206-4370-94BA-2FF47314F401}"/>
            </c:ext>
          </c:extLst>
        </c:ser>
        <c:dLbls>
          <c:showLegendKey val="0"/>
          <c:showVal val="0"/>
          <c:showCatName val="0"/>
          <c:showSerName val="0"/>
          <c:showPercent val="0"/>
          <c:showBubbleSize val="0"/>
        </c:dLbls>
        <c:gapWidth val="5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r>
                  <a:rPr lang="nl-NL" sz="2400"/>
                  <a:t> Reductie MKI [%]</a:t>
                </a:r>
              </a:p>
            </c:rich>
          </c:tx>
          <c:overlay val="0"/>
          <c:spPr>
            <a:noFill/>
            <a:ln>
              <a:noFill/>
            </a:ln>
            <a:effectLst/>
          </c:spPr>
          <c:txPr>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solidFill>
          <a:schemeClr val="bg2"/>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nl-NL"/>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Procesmonitor - ongewogen scores 12 items ( 8  circulaire ontwerpprincipes)</a:t>
            </a:r>
          </a:p>
        </c:rich>
      </c:tx>
      <c:layout>
        <c:manualLayout>
          <c:xMode val="edge"/>
          <c:yMode val="edge"/>
          <c:x val="0.11692192896759156"/>
          <c:y val="1.030324185014583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2.8678423520166658E-2"/>
          <c:y val="5.2353203363239321E-2"/>
          <c:w val="0.9713215764798333"/>
          <c:h val="3.994203358998076E-3"/>
        </c:manualLayout>
      </c:layout>
      <c:barChart>
        <c:barDir val="col"/>
        <c:grouping val="stacked"/>
        <c:varyColors val="0"/>
        <c:ser>
          <c:idx val="0"/>
          <c:order val="0"/>
          <c:tx>
            <c:strRef>
              <c:f>'info vergelijk'!$C$13</c:f>
              <c:strCache>
                <c:ptCount val="1"/>
                <c:pt idx="0">
                  <c:v>Naam alternatief:</c:v>
                </c:pt>
              </c:strCache>
            </c:strRef>
          </c:tx>
          <c:spPr>
            <a:solidFill>
              <a:schemeClr val="accent1"/>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vergelijk'!$D$13:$M$13</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00-D299-464B-BF4E-E69B712D80D5}"/>
            </c:ext>
          </c:extLst>
        </c:ser>
        <c:ser>
          <c:idx val="1"/>
          <c:order val="1"/>
          <c:tx>
            <c:strRef>
              <c:f>'info vergelijk'!$C$14</c:f>
              <c:strCache>
                <c:ptCount val="1"/>
                <c:pt idx="0">
                  <c:v>FASE</c:v>
                </c:pt>
              </c:strCache>
            </c:strRef>
          </c:tx>
          <c:spPr>
            <a:solidFill>
              <a:schemeClr val="accent2"/>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vergelijk'!$D$14:$M$14</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01-D299-464B-BF4E-E69B712D80D5}"/>
            </c:ext>
          </c:extLst>
        </c:ser>
        <c:ser>
          <c:idx val="2"/>
          <c:order val="2"/>
          <c:tx>
            <c:strRef>
              <c:f>'info vergelijk'!$C$15</c:f>
              <c:strCache>
                <c:ptCount val="1"/>
                <c:pt idx="0">
                  <c:v>Voorkómen: niet doen wat echt niet hoeft</c:v>
                </c:pt>
              </c:strCache>
            </c:strRef>
          </c:tx>
          <c:spPr>
            <a:solidFill>
              <a:schemeClr val="accent3"/>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vergelijk'!$D$15:$M$15</c:f>
              <c:numCache>
                <c:formatCode>General</c:formatCode>
                <c:ptCount val="10"/>
              </c:numCache>
            </c:numRef>
          </c:val>
          <c:extLst>
            <c:ext xmlns:c16="http://schemas.microsoft.com/office/drawing/2014/chart" uri="{C3380CC4-5D6E-409C-BE32-E72D297353CC}">
              <c16:uniqueId val="{00000002-D299-464B-BF4E-E69B712D80D5}"/>
            </c:ext>
          </c:extLst>
        </c:ser>
        <c:ser>
          <c:idx val="3"/>
          <c:order val="3"/>
          <c:tx>
            <c:strRef>
              <c:f>'info vergelijk'!$C$16</c:f>
              <c:strCache>
                <c:ptCount val="1"/>
                <c:pt idx="0">
                  <c:v>verklein de omvang van de opgave. Wees kritisch t.a.v. eisen/uitgangspunten. Hergebruik materialen/elementen of een nieuwe/dubbelfunctie</c:v>
                </c:pt>
              </c:strCache>
            </c:strRef>
          </c:tx>
          <c:spPr>
            <a:solidFill>
              <a:schemeClr val="tx1">
                <a:lumMod val="50000"/>
                <a:lumOff val="50000"/>
              </a:schemeClr>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vergelijk'!$D$16:$M$16</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03-D299-464B-BF4E-E69B712D80D5}"/>
            </c:ext>
          </c:extLst>
        </c:ser>
        <c:ser>
          <c:idx val="4"/>
          <c:order val="4"/>
          <c:tx>
            <c:strRef>
              <c:f>'info vergelijk'!$C$17</c:f>
              <c:strCache>
                <c:ptCount val="1"/>
                <c:pt idx="0">
                  <c:v>Verleng de levensduur van bestaande objecten of componenten</c:v>
                </c:pt>
              </c:strCache>
            </c:strRef>
          </c:tx>
          <c:spPr>
            <a:solidFill>
              <a:schemeClr val="accent5"/>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vergelijk'!$D$17:$M$17</c:f>
              <c:numCache>
                <c:formatCode>General</c:formatCode>
                <c:ptCount val="10"/>
              </c:numCache>
            </c:numRef>
          </c:val>
          <c:extLst>
            <c:ext xmlns:c16="http://schemas.microsoft.com/office/drawing/2014/chart" uri="{C3380CC4-5D6E-409C-BE32-E72D297353CC}">
              <c16:uniqueId val="{00000004-D299-464B-BF4E-E69B712D80D5}"/>
            </c:ext>
          </c:extLst>
        </c:ser>
        <c:ser>
          <c:idx val="5"/>
          <c:order val="5"/>
          <c:tx>
            <c:strRef>
              <c:f>'info vergelijk'!$C$18</c:f>
              <c:strCache>
                <c:ptCount val="1"/>
                <c:pt idx="0">
                  <c:v>mogelijkheden voor verlenging van de levensduur van bestaande objecten</c:v>
                </c:pt>
              </c:strCache>
            </c:strRef>
          </c:tx>
          <c:spPr>
            <a:solidFill>
              <a:srgbClr val="FF0000"/>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vergelijk'!$D$18:$M$18</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05-D299-464B-BF4E-E69B712D80D5}"/>
            </c:ext>
          </c:extLst>
        </c:ser>
        <c:ser>
          <c:idx val="6"/>
          <c:order val="6"/>
          <c:tx>
            <c:strRef>
              <c:f>'info vergelijk'!$C$19</c:f>
              <c:strCache>
                <c:ptCount val="1"/>
                <c:pt idx="0">
                  <c:v>Duurzaam gebruik van bestaande objecten, materialen, grondstoffen en natuurlijke processen</c:v>
                </c:pt>
              </c:strCache>
            </c:strRef>
          </c:tx>
          <c:spPr>
            <a:solidFill>
              <a:schemeClr val="accent1">
                <a:lumMod val="60000"/>
              </a:schemeClr>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vergelijk'!$D$19:$M$19</c:f>
              <c:numCache>
                <c:formatCode>General</c:formatCode>
                <c:ptCount val="10"/>
              </c:numCache>
            </c:numRef>
          </c:val>
          <c:extLst>
            <c:ext xmlns:c16="http://schemas.microsoft.com/office/drawing/2014/chart" uri="{C3380CC4-5D6E-409C-BE32-E72D297353CC}">
              <c16:uniqueId val="{00000006-D299-464B-BF4E-E69B712D80D5}"/>
            </c:ext>
          </c:extLst>
        </c:ser>
        <c:ser>
          <c:idx val="7"/>
          <c:order val="7"/>
          <c:tx>
            <c:strRef>
              <c:f>'info vergelijk'!$C$20</c:f>
              <c:strCache>
                <c:ptCount val="1"/>
                <c:pt idx="0">
                  <c:v>restwaarde voor hergebruik bepalen van bestaande objecten, componenten en materialen</c:v>
                </c:pt>
              </c:strCache>
            </c:strRef>
          </c:tx>
          <c:spPr>
            <a:solidFill>
              <a:schemeClr val="accent6">
                <a:lumMod val="40000"/>
                <a:lumOff val="60000"/>
              </a:schemeClr>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vergelijk'!$D$20:$M$20</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07-D299-464B-BF4E-E69B712D80D5}"/>
            </c:ext>
          </c:extLst>
        </c:ser>
        <c:ser>
          <c:idx val="8"/>
          <c:order val="8"/>
          <c:tx>
            <c:strRef>
              <c:f>'info vergelijk'!$C$21</c:f>
              <c:strCache>
                <c:ptCount val="1"/>
                <c:pt idx="0">
                  <c:v>gebruik van materialen(data)banken</c:v>
                </c:pt>
              </c:strCache>
            </c:strRef>
          </c:tx>
          <c:spPr>
            <a:solidFill>
              <a:schemeClr val="accent6">
                <a:lumMod val="60000"/>
                <a:lumOff val="40000"/>
              </a:schemeClr>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vergelijk'!$D$21:$M$21</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08-D299-464B-BF4E-E69B712D80D5}"/>
            </c:ext>
          </c:extLst>
        </c:ser>
        <c:ser>
          <c:idx val="9"/>
          <c:order val="9"/>
          <c:tx>
            <c:strRef>
              <c:f>'info vergelijk'!$C$22</c:f>
              <c:strCache>
                <c:ptCount val="1"/>
                <c:pt idx="0">
                  <c:v>(potentiële kansen voor) inzet van aanwezige natuurlijke processen</c:v>
                </c:pt>
              </c:strCache>
            </c:strRef>
          </c:tx>
          <c:spPr>
            <a:solidFill>
              <a:srgbClr val="92D050"/>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vergelijk'!$D$22:$M$22</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09-D299-464B-BF4E-E69B712D80D5}"/>
            </c:ext>
          </c:extLst>
        </c:ser>
        <c:ser>
          <c:idx val="10"/>
          <c:order val="10"/>
          <c:tx>
            <c:strRef>
              <c:f>'info vergelijk'!$C$23</c:f>
              <c:strCache>
                <c:ptCount val="1"/>
                <c:pt idx="0">
                  <c:v>Ontwerp voor meerdere levenscycli</c:v>
                </c:pt>
              </c:strCache>
            </c:strRef>
          </c:tx>
          <c:spPr>
            <a:solidFill>
              <a:schemeClr val="accent5">
                <a:lumMod val="60000"/>
              </a:schemeClr>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vergelijk'!$D$23:$M$23</c:f>
              <c:numCache>
                <c:formatCode>General</c:formatCode>
                <c:ptCount val="10"/>
              </c:numCache>
            </c:numRef>
          </c:val>
          <c:extLst>
            <c:ext xmlns:c16="http://schemas.microsoft.com/office/drawing/2014/chart" uri="{C3380CC4-5D6E-409C-BE32-E72D297353CC}">
              <c16:uniqueId val="{0000000A-D299-464B-BF4E-E69B712D80D5}"/>
            </c:ext>
          </c:extLst>
        </c:ser>
        <c:ser>
          <c:idx val="11"/>
          <c:order val="11"/>
          <c:tx>
            <c:strRef>
              <c:f>'info vergelijk'!$C$24</c:f>
              <c:strCache>
                <c:ptCount val="1"/>
                <c:pt idx="0">
                  <c:v>herbruikbaarheid van materialen/elementen (na einde levensduur)  in ontwerp</c:v>
                </c:pt>
              </c:strCache>
            </c:strRef>
          </c:tx>
          <c:spPr>
            <a:solidFill>
              <a:schemeClr val="accent4">
                <a:lumMod val="40000"/>
                <a:lumOff val="60000"/>
              </a:schemeClr>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vergelijk'!$D$24:$M$24</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0B-D299-464B-BF4E-E69B712D80D5}"/>
            </c:ext>
          </c:extLst>
        </c:ser>
        <c:ser>
          <c:idx val="12"/>
          <c:order val="12"/>
          <c:tx>
            <c:strRef>
              <c:f>'info vergelijk'!$C$25</c:f>
              <c:strCache>
                <c:ptCount val="1"/>
                <c:pt idx="0">
                  <c:v>materialenpaspoort</c:v>
                </c:pt>
              </c:strCache>
            </c:strRef>
          </c:tx>
          <c:spPr>
            <a:solidFill>
              <a:srgbClr val="FFC000"/>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vergelijk'!$D$25:$M$25</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0C-D299-464B-BF4E-E69B712D80D5}"/>
            </c:ext>
          </c:extLst>
        </c:ser>
        <c:ser>
          <c:idx val="13"/>
          <c:order val="13"/>
          <c:tx>
            <c:strRef>
              <c:f>'info vergelijk'!$C$26</c:f>
              <c:strCache>
                <c:ptCount val="1"/>
                <c:pt idx="0">
                  <c:v>Ontwerp toekomstbestendig</c:v>
                </c:pt>
              </c:strCache>
            </c:strRef>
          </c:tx>
          <c:spPr>
            <a:solidFill>
              <a:schemeClr val="accent2">
                <a:lumMod val="80000"/>
                <a:lumOff val="20000"/>
              </a:schemeClr>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vergelijk'!$D$26:$M$26</c:f>
              <c:numCache>
                <c:formatCode>General</c:formatCode>
                <c:ptCount val="10"/>
              </c:numCache>
            </c:numRef>
          </c:val>
          <c:extLst>
            <c:ext xmlns:c16="http://schemas.microsoft.com/office/drawing/2014/chart" uri="{C3380CC4-5D6E-409C-BE32-E72D297353CC}">
              <c16:uniqueId val="{0000000D-D299-464B-BF4E-E69B712D80D5}"/>
            </c:ext>
          </c:extLst>
        </c:ser>
        <c:ser>
          <c:idx val="14"/>
          <c:order val="14"/>
          <c:tx>
            <c:strRef>
              <c:f>'info vergelijk'!$C$27</c:f>
              <c:strCache>
                <c:ptCount val="1"/>
                <c:pt idx="0">
                  <c:v>adaptief en toekomstgericht. Betrek omgeving bij planvorming</c:v>
                </c:pt>
              </c:strCache>
            </c:strRef>
          </c:tx>
          <c:spPr>
            <a:solidFill>
              <a:srgbClr val="000099"/>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vergelijk'!$D$27:$M$27</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0E-D299-464B-BF4E-E69B712D80D5}"/>
            </c:ext>
          </c:extLst>
        </c:ser>
        <c:ser>
          <c:idx val="15"/>
          <c:order val="15"/>
          <c:tx>
            <c:strRef>
              <c:f>'info vergelijk'!$C$28</c:f>
              <c:strCache>
                <c:ptCount val="1"/>
                <c:pt idx="0">
                  <c:v>Ontwerp voor optimaal beheer en onderhoud </c:v>
                </c:pt>
              </c:strCache>
            </c:strRef>
          </c:tx>
          <c:spPr>
            <a:solidFill>
              <a:schemeClr val="accent4">
                <a:lumMod val="80000"/>
                <a:lumOff val="20000"/>
              </a:schemeClr>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vergelijk'!$D$28:$M$28</c:f>
              <c:numCache>
                <c:formatCode>General</c:formatCode>
                <c:ptCount val="10"/>
              </c:numCache>
            </c:numRef>
          </c:val>
          <c:extLst>
            <c:ext xmlns:c16="http://schemas.microsoft.com/office/drawing/2014/chart" uri="{C3380CC4-5D6E-409C-BE32-E72D297353CC}">
              <c16:uniqueId val="{0000000F-D299-464B-BF4E-E69B712D80D5}"/>
            </c:ext>
          </c:extLst>
        </c:ser>
        <c:ser>
          <c:idx val="16"/>
          <c:order val="16"/>
          <c:tx>
            <c:strRef>
              <c:f>'info vergelijk'!$C$29</c:f>
              <c:strCache>
                <c:ptCount val="1"/>
                <c:pt idx="0">
                  <c:v>beheer- en onderhoudsaspecten</c:v>
                </c:pt>
              </c:strCache>
            </c:strRef>
          </c:tx>
          <c:spPr>
            <a:solidFill>
              <a:srgbClr val="6666FF"/>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vergelijk'!$D$29:$M$29</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10-D299-464B-BF4E-E69B712D80D5}"/>
            </c:ext>
          </c:extLst>
        </c:ser>
        <c:ser>
          <c:idx val="17"/>
          <c:order val="17"/>
          <c:tx>
            <c:strRef>
              <c:f>'info vergelijk'!$C$30</c:f>
              <c:strCache>
                <c:ptCount val="1"/>
                <c:pt idx="0">
                  <c:v>Duurzaam materiaalgebruik (hoeveel x milieubelasting)</c:v>
                </c:pt>
              </c:strCache>
            </c:strRef>
          </c:tx>
          <c:spPr>
            <a:solidFill>
              <a:schemeClr val="accent6">
                <a:lumMod val="80000"/>
                <a:lumOff val="20000"/>
              </a:schemeClr>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vergelijk'!$D$30:$M$30</c:f>
              <c:numCache>
                <c:formatCode>General</c:formatCode>
                <c:ptCount val="10"/>
              </c:numCache>
            </c:numRef>
          </c:val>
          <c:extLst>
            <c:ext xmlns:c16="http://schemas.microsoft.com/office/drawing/2014/chart" uri="{C3380CC4-5D6E-409C-BE32-E72D297353CC}">
              <c16:uniqueId val="{00000011-D299-464B-BF4E-E69B712D80D5}"/>
            </c:ext>
          </c:extLst>
        </c:ser>
        <c:ser>
          <c:idx val="18"/>
          <c:order val="18"/>
          <c:tx>
            <c:strRef>
              <c:f>'info vergelijk'!$C$31</c:f>
              <c:strCache>
                <c:ptCount val="1"/>
                <c:pt idx="0">
                  <c:v>Milieuimpact</c:v>
                </c:pt>
              </c:strCache>
            </c:strRef>
          </c:tx>
          <c:spPr>
            <a:solidFill>
              <a:schemeClr val="accent1">
                <a:lumMod val="80000"/>
              </a:schemeClr>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vergelijk'!$D$31:$M$31</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12-D299-464B-BF4E-E69B712D80D5}"/>
            </c:ext>
          </c:extLst>
        </c:ser>
        <c:ser>
          <c:idx val="19"/>
          <c:order val="19"/>
          <c:tx>
            <c:strRef>
              <c:f>'info vergelijk'!$C$32</c:f>
              <c:strCache>
                <c:ptCount val="1"/>
                <c:pt idx="0">
                  <c:v>Circulariteit</c:v>
                </c:pt>
              </c:strCache>
            </c:strRef>
          </c:tx>
          <c:spPr>
            <a:solidFill>
              <a:srgbClr val="FF6600"/>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vergelijk'!$D$32:$M$32</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13-D299-464B-BF4E-E69B712D80D5}"/>
            </c:ext>
          </c:extLst>
        </c:ser>
        <c:ser>
          <c:idx val="20"/>
          <c:order val="20"/>
          <c:tx>
            <c:strRef>
              <c:f>'info vergelijk'!$C$33</c:f>
              <c:strCache>
                <c:ptCount val="1"/>
                <c:pt idx="0">
                  <c:v>Ontwerp voor minimaal grondstof- en energiegebruik in de aanleg/gebruiksfase</c:v>
                </c:pt>
              </c:strCache>
            </c:strRef>
          </c:tx>
          <c:spPr>
            <a:solidFill>
              <a:schemeClr val="accent3">
                <a:lumMod val="80000"/>
              </a:schemeClr>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vergelijk'!$D$33:$M$33</c:f>
              <c:numCache>
                <c:formatCode>General</c:formatCode>
                <c:ptCount val="10"/>
              </c:numCache>
            </c:numRef>
          </c:val>
          <c:extLst>
            <c:ext xmlns:c16="http://schemas.microsoft.com/office/drawing/2014/chart" uri="{C3380CC4-5D6E-409C-BE32-E72D297353CC}">
              <c16:uniqueId val="{00000014-D299-464B-BF4E-E69B712D80D5}"/>
            </c:ext>
          </c:extLst>
        </c:ser>
        <c:ser>
          <c:idx val="21"/>
          <c:order val="21"/>
          <c:tx>
            <c:strRef>
              <c:f>'info vergelijk'!$C$34</c:f>
              <c:strCache>
                <c:ptCount val="1"/>
                <c:pt idx="0">
                  <c:v>CO2 impact materialen en energiegebruik</c:v>
                </c:pt>
              </c:strCache>
            </c:strRef>
          </c:tx>
          <c:spPr>
            <a:solidFill>
              <a:srgbClr val="C00000"/>
            </a:solidFill>
            <a:ln>
              <a:noFill/>
            </a:ln>
            <a:effectLst/>
          </c:spPr>
          <c:invertIfNegative val="0"/>
          <c:cat>
            <c:strRef>
              <c:f>'info vergelijk'!$D$13:$M$13</c:f>
              <c:strCache>
                <c:ptCount val="5"/>
                <c:pt idx="0">
                  <c:v>invoer Basis NIET VOLLEDIG</c:v>
                </c:pt>
                <c:pt idx="1">
                  <c:v>A1 NIET VOLLEDIG</c:v>
                </c:pt>
                <c:pt idx="2">
                  <c:v>B1 NIET VOLLEDIG</c:v>
                </c:pt>
                <c:pt idx="3">
                  <c:v>C1 NIET VOLLEDIG</c:v>
                </c:pt>
                <c:pt idx="4">
                  <c:v>D1 NIET VOLLEDIG</c:v>
                </c:pt>
              </c:strCache>
            </c:strRef>
          </c:cat>
          <c:val>
            <c:numRef>
              <c:f>'info vergelijk'!$D$34:$M$34</c:f>
              <c:numCache>
                <c:formatCode>General</c:formatCode>
                <c:ptCount val="10"/>
                <c:pt idx="0">
                  <c:v>0</c:v>
                </c:pt>
                <c:pt idx="1">
                  <c:v>0</c:v>
                </c:pt>
                <c:pt idx="2">
                  <c:v>0</c:v>
                </c:pt>
                <c:pt idx="3">
                  <c:v>0</c:v>
                </c:pt>
                <c:pt idx="4">
                  <c:v>0</c:v>
                </c:pt>
              </c:numCache>
            </c:numRef>
          </c:val>
          <c:extLst>
            <c:ext xmlns:c16="http://schemas.microsoft.com/office/drawing/2014/chart" uri="{C3380CC4-5D6E-409C-BE32-E72D297353CC}">
              <c16:uniqueId val="{00000015-D299-464B-BF4E-E69B712D80D5}"/>
            </c:ext>
          </c:extLst>
        </c:ser>
        <c:dLbls>
          <c:showLegendKey val="0"/>
          <c:showVal val="0"/>
          <c:showCatName val="0"/>
          <c:showSerName val="0"/>
          <c:showPercent val="0"/>
          <c:showBubbleSize val="0"/>
        </c:dLbls>
        <c:gapWidth val="150"/>
        <c:overlap val="100"/>
        <c:axId val="1635605616"/>
        <c:axId val="1635601872"/>
      </c:barChart>
      <c:catAx>
        <c:axId val="1635605616"/>
        <c:scaling>
          <c:orientation val="minMax"/>
        </c:scaling>
        <c:delete val="1"/>
        <c:axPos val="b"/>
        <c:numFmt formatCode="General" sourceLinked="1"/>
        <c:majorTickMark val="none"/>
        <c:minorTickMark val="none"/>
        <c:tickLblPos val="nextTo"/>
        <c:crossAx val="1635601872"/>
        <c:crosses val="autoZero"/>
        <c:auto val="1"/>
        <c:lblAlgn val="ctr"/>
        <c:lblOffset val="100"/>
        <c:noMultiLvlLbl val="0"/>
      </c:catAx>
      <c:valAx>
        <c:axId val="1635601872"/>
        <c:scaling>
          <c:orientation val="minMax"/>
        </c:scaling>
        <c:delete val="1"/>
        <c:axPos val="l"/>
        <c:numFmt formatCode="General" sourceLinked="1"/>
        <c:majorTickMark val="none"/>
        <c:minorTickMark val="none"/>
        <c:tickLblPos val="nextTo"/>
        <c:crossAx val="1635605616"/>
        <c:crosses val="autoZero"/>
        <c:crossBetween val="between"/>
      </c:valAx>
      <c:spPr>
        <a:noFill/>
        <a:ln w="25400">
          <a:noFill/>
        </a:ln>
        <a:effectLst/>
      </c:spPr>
    </c:plotArea>
    <c:legend>
      <c:legendPos val="b"/>
      <c:layout>
        <c:manualLayout>
          <c:xMode val="edge"/>
          <c:yMode val="edge"/>
          <c:x val="0.12478642669531691"/>
          <c:y val="0.10198009907692157"/>
          <c:w val="0.82617579636453153"/>
          <c:h val="0.8742539726115075"/>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nl-NL"/>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sz="1400"/>
              <a:t>Referentiemonitor Reductie CO2 t.o.v. referentie</a:t>
            </a:r>
          </a:p>
        </c:rich>
      </c:tx>
      <c:layout>
        <c:manualLayout>
          <c:xMode val="edge"/>
          <c:yMode val="edge"/>
          <c:x val="0.18764406874022554"/>
          <c:y val="9.1442705641146635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18076756263675997"/>
          <c:y val="7.7079200323388664E-2"/>
          <c:w val="0.79968730587781001"/>
          <c:h val="0.86396613339584372"/>
        </c:manualLayout>
      </c:layout>
      <c:barChart>
        <c:barDir val="col"/>
        <c:grouping val="clustered"/>
        <c:varyColors val="0"/>
        <c:ser>
          <c:idx val="1"/>
          <c:order val="0"/>
          <c:tx>
            <c:strRef>
              <c:f>'info vergelijk'!$C$86</c:f>
              <c:strCache>
                <c:ptCount val="1"/>
                <c:pt idx="0">
                  <c:v>CO2 reductie</c:v>
                </c:pt>
              </c:strCache>
            </c:strRef>
          </c:tx>
          <c:spPr>
            <a:solidFill>
              <a:srgbClr val="FF0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0">
                <a:spAutoFit/>
              </a:bodyPr>
              <a:lstStyle/>
              <a:p>
                <a:pPr>
                  <a:defRPr sz="1100" b="0" i="0" u="none" strike="noStrike" kern="1200" baseline="0">
                    <a:solidFill>
                      <a:schemeClr val="tx1">
                        <a:lumMod val="75000"/>
                        <a:lumOff val="25000"/>
                      </a:schemeClr>
                    </a:solidFill>
                    <a:latin typeface="+mn-lt"/>
                    <a:ea typeface="+mn-ea"/>
                    <a:cs typeface="+mn-cs"/>
                  </a:defRPr>
                </a:pPr>
                <a:endParaRPr lang="nl-N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vergelijk'!$D$86:$M$86</c15:sqref>
                  </c15:fullRef>
                </c:ext>
              </c:extLst>
              <c:f>'info vergelijk'!$D$86:$H$86</c:f>
              <c:numCache>
                <c:formatCode>0%</c:formatCode>
                <c:ptCount val="5"/>
                <c:pt idx="0">
                  <c:v>0</c:v>
                </c:pt>
                <c:pt idx="1">
                  <c:v>0</c:v>
                </c:pt>
                <c:pt idx="2">
                  <c:v>0</c:v>
                </c:pt>
                <c:pt idx="3">
                  <c:v>0</c:v>
                </c:pt>
                <c:pt idx="4">
                  <c:v>0</c:v>
                </c:pt>
              </c:numCache>
            </c:numRef>
          </c:val>
          <c:extLst xmlns:c15="http://schemas.microsoft.com/office/drawing/2012/chart">
            <c:ext xmlns:c16="http://schemas.microsoft.com/office/drawing/2014/chart" uri="{C3380CC4-5D6E-409C-BE32-E72D297353CC}">
              <c16:uniqueId val="{00000000-0ED6-4841-A09F-94B57907AAAD}"/>
            </c:ext>
          </c:extLst>
        </c:ser>
        <c:dLbls>
          <c:showLegendKey val="0"/>
          <c:showVal val="0"/>
          <c:showCatName val="0"/>
          <c:showSerName val="0"/>
          <c:showPercent val="0"/>
          <c:showBubbleSize val="0"/>
        </c:dLbls>
        <c:gapWidth val="5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r>
                  <a:rPr lang="nl-NL" sz="2400" baseline="0"/>
                  <a:t> Reductie CO2 [%]</a:t>
                </a:r>
                <a:endParaRPr lang="nl-NL" sz="2400"/>
              </a:p>
            </c:rich>
          </c:tx>
          <c:overlay val="0"/>
          <c:spPr>
            <a:noFill/>
            <a:ln>
              <a:noFill/>
            </a:ln>
            <a:effectLst/>
          </c:spPr>
          <c:txPr>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solidFill>
          <a:schemeClr val="bg2"/>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Referentiemonitor verbetering Circulariteit t.o.v. referentie</a:t>
            </a:r>
          </a:p>
        </c:rich>
      </c:tx>
      <c:layout>
        <c:manualLayout>
          <c:xMode val="edge"/>
          <c:yMode val="edge"/>
          <c:x val="0.18977780205807335"/>
          <c:y val="9.8123705320112303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18180716786678017"/>
          <c:y val="8.800142677243622E-2"/>
          <c:w val="0.7985352954097189"/>
          <c:h val="0.85839892880086066"/>
        </c:manualLayout>
      </c:layout>
      <c:barChart>
        <c:barDir val="col"/>
        <c:grouping val="clustered"/>
        <c:varyColors val="0"/>
        <c:ser>
          <c:idx val="1"/>
          <c:order val="0"/>
          <c:tx>
            <c:strRef>
              <c:f>'info vergelijk'!$C$80</c:f>
              <c:strCache>
                <c:ptCount val="1"/>
                <c:pt idx="0">
                  <c:v>MCI reductie</c:v>
                </c:pt>
              </c:strCache>
            </c:strRef>
          </c:tx>
          <c:spPr>
            <a:solidFill>
              <a:srgbClr val="00B0F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nl-N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vergelijk'!$D$80:$M$80</c15:sqref>
                  </c15:fullRef>
                </c:ext>
              </c:extLst>
              <c:f>'info vergelijk'!$D$80:$H$80</c:f>
              <c:numCache>
                <c:formatCode>0%</c:formatCode>
                <c:ptCount val="5"/>
                <c:pt idx="0">
                  <c:v>0</c:v>
                </c:pt>
                <c:pt idx="1">
                  <c:v>0</c:v>
                </c:pt>
                <c:pt idx="2">
                  <c:v>0</c:v>
                </c:pt>
                <c:pt idx="3">
                  <c:v>0</c:v>
                </c:pt>
                <c:pt idx="4">
                  <c:v>0</c:v>
                </c:pt>
              </c:numCache>
            </c:numRef>
          </c:val>
          <c:extLst xmlns:c15="http://schemas.microsoft.com/office/drawing/2012/chart">
            <c:ext xmlns:c16="http://schemas.microsoft.com/office/drawing/2014/chart" uri="{C3380CC4-5D6E-409C-BE32-E72D297353CC}">
              <c16:uniqueId val="{00000000-E201-4B66-B0BB-136E5A556015}"/>
            </c:ext>
          </c:extLst>
        </c:ser>
        <c:dLbls>
          <c:showLegendKey val="0"/>
          <c:showVal val="0"/>
          <c:showCatName val="0"/>
          <c:showSerName val="0"/>
          <c:showPercent val="0"/>
          <c:showBubbleSize val="0"/>
        </c:dLbls>
        <c:gapWidth val="5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r>
                  <a:rPr lang="nl-NL" sz="2400"/>
                  <a:t> Verbetering Circulariteit [%]</a:t>
                </a:r>
              </a:p>
            </c:rich>
          </c:tx>
          <c:overlay val="0"/>
          <c:spPr>
            <a:noFill/>
            <a:ln>
              <a:noFill/>
            </a:ln>
            <a:effectLst/>
          </c:spPr>
          <c:txPr>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solidFill>
          <a:schemeClr val="bg2"/>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nl-NL"/>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r>
              <a:rPr lang="nl-NL" sz="1600" b="1"/>
              <a:t>Procesmonitor Circulaire Peiler - gewogen scores</a:t>
            </a:r>
          </a:p>
          <a:p>
            <a:pPr algn="l">
              <a:defRPr sz="1600" b="1"/>
            </a:pPr>
            <a:r>
              <a:rPr lang="nl-NL" sz="1600" b="1"/>
              <a:t>CPI (eind)score op basis van de 8 circulaire ontwerpprincipes</a:t>
            </a:r>
          </a:p>
        </c:rich>
      </c:tx>
      <c:layout>
        <c:manualLayout>
          <c:xMode val="edge"/>
          <c:yMode val="edge"/>
          <c:x val="0.18955827682422982"/>
          <c:y val="1.3285023071706547E-2"/>
        </c:manualLayout>
      </c:layout>
      <c:overlay val="0"/>
      <c:spPr>
        <a:noFill/>
        <a:ln>
          <a:noFill/>
        </a:ln>
        <a:effectLst/>
      </c:spPr>
      <c:txPr>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20596714230261368"/>
          <c:y val="0.14942360832761753"/>
          <c:w val="0.74910885350687628"/>
          <c:h val="0.72891057631880518"/>
        </c:manualLayout>
      </c:layout>
      <c:barChart>
        <c:barDir val="col"/>
        <c:grouping val="stacked"/>
        <c:varyColors val="0"/>
        <c:ser>
          <c:idx val="0"/>
          <c:order val="0"/>
          <c:tx>
            <c:strRef>
              <c:f>'info vergelijk'!$C$48</c:f>
              <c:strCache>
                <c:ptCount val="1"/>
                <c:pt idx="0">
                  <c:v>Voorkómen: niet doen wat echt niet hoeft</c:v>
                </c:pt>
              </c:strCache>
            </c:strRef>
          </c:tx>
          <c:spPr>
            <a:solidFill>
              <a:schemeClr val="tx1">
                <a:lumMod val="75000"/>
                <a:lumOff val="25000"/>
              </a:schemeClr>
            </a:solidFill>
            <a:ln w="19050">
              <a:solidFill>
                <a:schemeClr val="lt1"/>
              </a:solidFill>
            </a:ln>
            <a:effectLst/>
          </c:spPr>
          <c:invertIfNegative val="0"/>
          <c:cat>
            <c:multiLvlStrRef>
              <c:f>'info vergelijk'!$D$13:$H$14</c:f>
              <c:multiLvlStrCache>
                <c:ptCount val="5"/>
                <c:lvl>
                  <c:pt idx="0">
                    <c:v>verkenningsfase</c:v>
                  </c:pt>
                  <c:pt idx="1">
                    <c:v>verkenningsfase</c:v>
                  </c:pt>
                  <c:pt idx="2">
                    <c:v>verkenningsfase</c:v>
                  </c:pt>
                  <c:pt idx="3">
                    <c:v>verkenningsfase</c:v>
                  </c:pt>
                  <c:pt idx="4">
                    <c:v>verkenningsfase</c:v>
                  </c:pt>
                </c:lvl>
                <c:lvl>
                  <c:pt idx="0">
                    <c:v>invoer Basis NIET VOLLEDIG</c:v>
                  </c:pt>
                  <c:pt idx="1">
                    <c:v>A1 NIET VOLLEDIG</c:v>
                  </c:pt>
                  <c:pt idx="2">
                    <c:v>B1 NIET VOLLEDIG</c:v>
                  </c:pt>
                  <c:pt idx="3">
                    <c:v>C1 NIET VOLLEDIG</c:v>
                  </c:pt>
                  <c:pt idx="4">
                    <c:v>D1 NIET VOLLEDIG</c:v>
                  </c:pt>
                </c:lvl>
              </c:multiLvlStrCache>
            </c:multiLvlStrRef>
          </c:cat>
          <c:val>
            <c:numRef>
              <c:f>'info vergelijk'!$D$48:$H$48</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0-6A66-40C1-BBF3-4B6D9377B200}"/>
            </c:ext>
          </c:extLst>
        </c:ser>
        <c:ser>
          <c:idx val="1"/>
          <c:order val="1"/>
          <c:tx>
            <c:strRef>
              <c:f>'info vergelijk'!$C$49</c:f>
              <c:strCache>
                <c:ptCount val="1"/>
                <c:pt idx="0">
                  <c:v>Verleng de levensduur van bestaande objecten of componenten</c:v>
                </c:pt>
              </c:strCache>
            </c:strRef>
          </c:tx>
          <c:spPr>
            <a:solidFill>
              <a:srgbClr val="FF0000"/>
            </a:solidFill>
            <a:ln w="19050">
              <a:solidFill>
                <a:schemeClr val="lt1"/>
              </a:solidFill>
            </a:ln>
            <a:effectLst/>
          </c:spPr>
          <c:invertIfNegative val="0"/>
          <c:cat>
            <c:multiLvlStrRef>
              <c:f>'info vergelijk'!$D$13:$H$14</c:f>
              <c:multiLvlStrCache>
                <c:ptCount val="5"/>
                <c:lvl>
                  <c:pt idx="0">
                    <c:v>verkenningsfase</c:v>
                  </c:pt>
                  <c:pt idx="1">
                    <c:v>verkenningsfase</c:v>
                  </c:pt>
                  <c:pt idx="2">
                    <c:v>verkenningsfase</c:v>
                  </c:pt>
                  <c:pt idx="3">
                    <c:v>verkenningsfase</c:v>
                  </c:pt>
                  <c:pt idx="4">
                    <c:v>verkenningsfase</c:v>
                  </c:pt>
                </c:lvl>
                <c:lvl>
                  <c:pt idx="0">
                    <c:v>invoer Basis NIET VOLLEDIG</c:v>
                  </c:pt>
                  <c:pt idx="1">
                    <c:v>A1 NIET VOLLEDIG</c:v>
                  </c:pt>
                  <c:pt idx="2">
                    <c:v>B1 NIET VOLLEDIG</c:v>
                  </c:pt>
                  <c:pt idx="3">
                    <c:v>C1 NIET VOLLEDIG</c:v>
                  </c:pt>
                  <c:pt idx="4">
                    <c:v>D1 NIET VOLLEDIG</c:v>
                  </c:pt>
                </c:lvl>
              </c:multiLvlStrCache>
            </c:multiLvlStrRef>
          </c:cat>
          <c:val>
            <c:numRef>
              <c:f>'info vergelijk'!$D$49:$H$49</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1-6A66-40C1-BBF3-4B6D9377B200}"/>
            </c:ext>
          </c:extLst>
        </c:ser>
        <c:ser>
          <c:idx val="2"/>
          <c:order val="2"/>
          <c:tx>
            <c:strRef>
              <c:f>'info vergelijk'!$C$50</c:f>
              <c:strCache>
                <c:ptCount val="1"/>
                <c:pt idx="0">
                  <c:v>Duurzaam gebruik van bestaande objecten, materialen, grondstoffen en natuurlijke processen</c:v>
                </c:pt>
              </c:strCache>
            </c:strRef>
          </c:tx>
          <c:spPr>
            <a:solidFill>
              <a:srgbClr val="00B050"/>
            </a:solidFill>
            <a:ln w="19050">
              <a:solidFill>
                <a:schemeClr val="lt1"/>
              </a:solidFill>
            </a:ln>
            <a:effectLst/>
          </c:spPr>
          <c:invertIfNegative val="0"/>
          <c:cat>
            <c:multiLvlStrRef>
              <c:f>'info vergelijk'!$D$13:$H$14</c:f>
              <c:multiLvlStrCache>
                <c:ptCount val="5"/>
                <c:lvl>
                  <c:pt idx="0">
                    <c:v>verkenningsfase</c:v>
                  </c:pt>
                  <c:pt idx="1">
                    <c:v>verkenningsfase</c:v>
                  </c:pt>
                  <c:pt idx="2">
                    <c:v>verkenningsfase</c:v>
                  </c:pt>
                  <c:pt idx="3">
                    <c:v>verkenningsfase</c:v>
                  </c:pt>
                  <c:pt idx="4">
                    <c:v>verkenningsfase</c:v>
                  </c:pt>
                </c:lvl>
                <c:lvl>
                  <c:pt idx="0">
                    <c:v>invoer Basis NIET VOLLEDIG</c:v>
                  </c:pt>
                  <c:pt idx="1">
                    <c:v>A1 NIET VOLLEDIG</c:v>
                  </c:pt>
                  <c:pt idx="2">
                    <c:v>B1 NIET VOLLEDIG</c:v>
                  </c:pt>
                  <c:pt idx="3">
                    <c:v>C1 NIET VOLLEDIG</c:v>
                  </c:pt>
                  <c:pt idx="4">
                    <c:v>D1 NIET VOLLEDIG</c:v>
                  </c:pt>
                </c:lvl>
              </c:multiLvlStrCache>
            </c:multiLvlStrRef>
          </c:cat>
          <c:val>
            <c:numRef>
              <c:f>'info vergelijk'!$D$50:$H$50</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2-6A66-40C1-BBF3-4B6D9377B200}"/>
            </c:ext>
          </c:extLst>
        </c:ser>
        <c:ser>
          <c:idx val="3"/>
          <c:order val="3"/>
          <c:tx>
            <c:strRef>
              <c:f>'info vergelijk'!$C$51</c:f>
              <c:strCache>
                <c:ptCount val="1"/>
                <c:pt idx="0">
                  <c:v>Ontwerp voor meerdere levenscycli</c:v>
                </c:pt>
              </c:strCache>
            </c:strRef>
          </c:tx>
          <c:spPr>
            <a:solidFill>
              <a:srgbClr val="FFC000"/>
            </a:solidFill>
            <a:ln w="19050">
              <a:solidFill>
                <a:schemeClr val="lt1"/>
              </a:solidFill>
            </a:ln>
            <a:effectLst/>
          </c:spPr>
          <c:invertIfNegative val="0"/>
          <c:cat>
            <c:multiLvlStrRef>
              <c:f>'info vergelijk'!$D$13:$H$14</c:f>
              <c:multiLvlStrCache>
                <c:ptCount val="5"/>
                <c:lvl>
                  <c:pt idx="0">
                    <c:v>verkenningsfase</c:v>
                  </c:pt>
                  <c:pt idx="1">
                    <c:v>verkenningsfase</c:v>
                  </c:pt>
                  <c:pt idx="2">
                    <c:v>verkenningsfase</c:v>
                  </c:pt>
                  <c:pt idx="3">
                    <c:v>verkenningsfase</c:v>
                  </c:pt>
                  <c:pt idx="4">
                    <c:v>verkenningsfase</c:v>
                  </c:pt>
                </c:lvl>
                <c:lvl>
                  <c:pt idx="0">
                    <c:v>invoer Basis NIET VOLLEDIG</c:v>
                  </c:pt>
                  <c:pt idx="1">
                    <c:v>A1 NIET VOLLEDIG</c:v>
                  </c:pt>
                  <c:pt idx="2">
                    <c:v>B1 NIET VOLLEDIG</c:v>
                  </c:pt>
                  <c:pt idx="3">
                    <c:v>C1 NIET VOLLEDIG</c:v>
                  </c:pt>
                  <c:pt idx="4">
                    <c:v>D1 NIET VOLLEDIG</c:v>
                  </c:pt>
                </c:lvl>
              </c:multiLvlStrCache>
            </c:multiLvlStrRef>
          </c:cat>
          <c:val>
            <c:numRef>
              <c:f>'info vergelijk'!$D$51:$H$51</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3-6A66-40C1-BBF3-4B6D9377B200}"/>
            </c:ext>
          </c:extLst>
        </c:ser>
        <c:ser>
          <c:idx val="4"/>
          <c:order val="4"/>
          <c:tx>
            <c:strRef>
              <c:f>'info vergelijk'!$C$52</c:f>
              <c:strCache>
                <c:ptCount val="1"/>
                <c:pt idx="0">
                  <c:v>Ontwerp toekomstbestendig</c:v>
                </c:pt>
              </c:strCache>
            </c:strRef>
          </c:tx>
          <c:spPr>
            <a:solidFill>
              <a:srgbClr val="000099"/>
            </a:solidFill>
            <a:ln w="19050">
              <a:solidFill>
                <a:schemeClr val="lt1"/>
              </a:solidFill>
            </a:ln>
            <a:effectLst/>
          </c:spPr>
          <c:invertIfNegative val="0"/>
          <c:cat>
            <c:multiLvlStrRef>
              <c:f>'info vergelijk'!$D$13:$H$14</c:f>
              <c:multiLvlStrCache>
                <c:ptCount val="5"/>
                <c:lvl>
                  <c:pt idx="0">
                    <c:v>verkenningsfase</c:v>
                  </c:pt>
                  <c:pt idx="1">
                    <c:v>verkenningsfase</c:v>
                  </c:pt>
                  <c:pt idx="2">
                    <c:v>verkenningsfase</c:v>
                  </c:pt>
                  <c:pt idx="3">
                    <c:v>verkenningsfase</c:v>
                  </c:pt>
                  <c:pt idx="4">
                    <c:v>verkenningsfase</c:v>
                  </c:pt>
                </c:lvl>
                <c:lvl>
                  <c:pt idx="0">
                    <c:v>invoer Basis NIET VOLLEDIG</c:v>
                  </c:pt>
                  <c:pt idx="1">
                    <c:v>A1 NIET VOLLEDIG</c:v>
                  </c:pt>
                  <c:pt idx="2">
                    <c:v>B1 NIET VOLLEDIG</c:v>
                  </c:pt>
                  <c:pt idx="3">
                    <c:v>C1 NIET VOLLEDIG</c:v>
                  </c:pt>
                  <c:pt idx="4">
                    <c:v>D1 NIET VOLLEDIG</c:v>
                  </c:pt>
                </c:lvl>
              </c:multiLvlStrCache>
            </c:multiLvlStrRef>
          </c:cat>
          <c:val>
            <c:numRef>
              <c:f>'info vergelijk'!$D$52:$H$52</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4-6A66-40C1-BBF3-4B6D9377B200}"/>
            </c:ext>
          </c:extLst>
        </c:ser>
        <c:ser>
          <c:idx val="5"/>
          <c:order val="5"/>
          <c:tx>
            <c:strRef>
              <c:f>'info vergelijk'!$C$53</c:f>
              <c:strCache>
                <c:ptCount val="1"/>
                <c:pt idx="0">
                  <c:v>Ontwerp voor optimaal beheer en onderhoud </c:v>
                </c:pt>
              </c:strCache>
            </c:strRef>
          </c:tx>
          <c:spPr>
            <a:solidFill>
              <a:srgbClr val="6666FF"/>
            </a:solidFill>
            <a:ln w="19050">
              <a:solidFill>
                <a:schemeClr val="lt1"/>
              </a:solidFill>
            </a:ln>
            <a:effectLst/>
          </c:spPr>
          <c:invertIfNegative val="0"/>
          <c:cat>
            <c:multiLvlStrRef>
              <c:f>'info vergelijk'!$D$13:$H$14</c:f>
              <c:multiLvlStrCache>
                <c:ptCount val="5"/>
                <c:lvl>
                  <c:pt idx="0">
                    <c:v>verkenningsfase</c:v>
                  </c:pt>
                  <c:pt idx="1">
                    <c:v>verkenningsfase</c:v>
                  </c:pt>
                  <c:pt idx="2">
                    <c:v>verkenningsfase</c:v>
                  </c:pt>
                  <c:pt idx="3">
                    <c:v>verkenningsfase</c:v>
                  </c:pt>
                  <c:pt idx="4">
                    <c:v>verkenningsfase</c:v>
                  </c:pt>
                </c:lvl>
                <c:lvl>
                  <c:pt idx="0">
                    <c:v>invoer Basis NIET VOLLEDIG</c:v>
                  </c:pt>
                  <c:pt idx="1">
                    <c:v>A1 NIET VOLLEDIG</c:v>
                  </c:pt>
                  <c:pt idx="2">
                    <c:v>B1 NIET VOLLEDIG</c:v>
                  </c:pt>
                  <c:pt idx="3">
                    <c:v>C1 NIET VOLLEDIG</c:v>
                  </c:pt>
                  <c:pt idx="4">
                    <c:v>D1 NIET VOLLEDIG</c:v>
                  </c:pt>
                </c:lvl>
              </c:multiLvlStrCache>
            </c:multiLvlStrRef>
          </c:cat>
          <c:val>
            <c:numRef>
              <c:f>'info vergelijk'!$D$53:$H$53</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5-6A66-40C1-BBF3-4B6D9377B200}"/>
            </c:ext>
          </c:extLst>
        </c:ser>
        <c:ser>
          <c:idx val="6"/>
          <c:order val="6"/>
          <c:tx>
            <c:strRef>
              <c:f>'info vergelijk'!$C$54</c:f>
              <c:strCache>
                <c:ptCount val="1"/>
                <c:pt idx="0">
                  <c:v>Duurzaam materiaalgebruik (hoeveel x milieubelasting)</c:v>
                </c:pt>
              </c:strCache>
            </c:strRef>
          </c:tx>
          <c:spPr>
            <a:solidFill>
              <a:srgbClr val="FF6600"/>
            </a:solidFill>
            <a:ln w="19050">
              <a:solidFill>
                <a:schemeClr val="lt1"/>
              </a:solidFill>
            </a:ln>
            <a:effectLst/>
          </c:spPr>
          <c:invertIfNegative val="0"/>
          <c:cat>
            <c:multiLvlStrRef>
              <c:f>'info vergelijk'!$D$13:$H$14</c:f>
              <c:multiLvlStrCache>
                <c:ptCount val="5"/>
                <c:lvl>
                  <c:pt idx="0">
                    <c:v>verkenningsfase</c:v>
                  </c:pt>
                  <c:pt idx="1">
                    <c:v>verkenningsfase</c:v>
                  </c:pt>
                  <c:pt idx="2">
                    <c:v>verkenningsfase</c:v>
                  </c:pt>
                  <c:pt idx="3">
                    <c:v>verkenningsfase</c:v>
                  </c:pt>
                  <c:pt idx="4">
                    <c:v>verkenningsfase</c:v>
                  </c:pt>
                </c:lvl>
                <c:lvl>
                  <c:pt idx="0">
                    <c:v>invoer Basis NIET VOLLEDIG</c:v>
                  </c:pt>
                  <c:pt idx="1">
                    <c:v>A1 NIET VOLLEDIG</c:v>
                  </c:pt>
                  <c:pt idx="2">
                    <c:v>B1 NIET VOLLEDIG</c:v>
                  </c:pt>
                  <c:pt idx="3">
                    <c:v>C1 NIET VOLLEDIG</c:v>
                  </c:pt>
                  <c:pt idx="4">
                    <c:v>D1 NIET VOLLEDIG</c:v>
                  </c:pt>
                </c:lvl>
              </c:multiLvlStrCache>
            </c:multiLvlStrRef>
          </c:cat>
          <c:val>
            <c:numRef>
              <c:f>'info vergelijk'!$D$54:$H$54</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6-6A66-40C1-BBF3-4B6D9377B200}"/>
            </c:ext>
          </c:extLst>
        </c:ser>
        <c:ser>
          <c:idx val="7"/>
          <c:order val="7"/>
          <c:tx>
            <c:strRef>
              <c:f>'info vergelijk'!$C$55</c:f>
              <c:strCache>
                <c:ptCount val="1"/>
                <c:pt idx="0">
                  <c:v>Ontwerp voor minimaal grondstof- en energiegebruik in de aanleg/gebruiksfase</c:v>
                </c:pt>
              </c:strCache>
            </c:strRef>
          </c:tx>
          <c:spPr>
            <a:solidFill>
              <a:srgbClr val="C00000"/>
            </a:solidFill>
            <a:ln w="19050">
              <a:solidFill>
                <a:schemeClr val="lt1"/>
              </a:solidFill>
            </a:ln>
            <a:effectLst/>
          </c:spPr>
          <c:invertIfNegative val="0"/>
          <c:cat>
            <c:multiLvlStrRef>
              <c:f>'info vergelijk'!$D$13:$H$14</c:f>
              <c:multiLvlStrCache>
                <c:ptCount val="5"/>
                <c:lvl>
                  <c:pt idx="0">
                    <c:v>verkenningsfase</c:v>
                  </c:pt>
                  <c:pt idx="1">
                    <c:v>verkenningsfase</c:v>
                  </c:pt>
                  <c:pt idx="2">
                    <c:v>verkenningsfase</c:v>
                  </c:pt>
                  <c:pt idx="3">
                    <c:v>verkenningsfase</c:v>
                  </c:pt>
                  <c:pt idx="4">
                    <c:v>verkenningsfase</c:v>
                  </c:pt>
                </c:lvl>
                <c:lvl>
                  <c:pt idx="0">
                    <c:v>invoer Basis NIET VOLLEDIG</c:v>
                  </c:pt>
                  <c:pt idx="1">
                    <c:v>A1 NIET VOLLEDIG</c:v>
                  </c:pt>
                  <c:pt idx="2">
                    <c:v>B1 NIET VOLLEDIG</c:v>
                  </c:pt>
                  <c:pt idx="3">
                    <c:v>C1 NIET VOLLEDIG</c:v>
                  </c:pt>
                  <c:pt idx="4">
                    <c:v>D1 NIET VOLLEDIG</c:v>
                  </c:pt>
                </c:lvl>
              </c:multiLvlStrCache>
            </c:multiLvlStrRef>
          </c:cat>
          <c:val>
            <c:numRef>
              <c:f>'info vergelijk'!$D$55:$H$55</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7-6A66-40C1-BBF3-4B6D9377B200}"/>
            </c:ext>
          </c:extLst>
        </c:ser>
        <c:ser>
          <c:idx val="8"/>
          <c:order val="8"/>
          <c:tx>
            <c:strRef>
              <c:f>'info vergelijk'!$C$56</c:f>
              <c:strCache>
                <c:ptCount val="1"/>
                <c:pt idx="0">
                  <c:v>Bonus</c:v>
                </c:pt>
              </c:strCache>
            </c:strRef>
          </c:tx>
          <c:spPr>
            <a:pattFill prst="ltUpDiag">
              <a:fgClr>
                <a:schemeClr val="bg1">
                  <a:lumMod val="75000"/>
                </a:schemeClr>
              </a:fgClr>
              <a:bgClr>
                <a:schemeClr val="bg1"/>
              </a:bgClr>
            </a:pattFill>
            <a:ln w="19050">
              <a:noFill/>
            </a:ln>
            <a:effectLst/>
          </c:spPr>
          <c:invertIfNegative val="0"/>
          <c:cat>
            <c:multiLvlStrRef>
              <c:f>'info vergelijk'!$D$13:$H$14</c:f>
              <c:multiLvlStrCache>
                <c:ptCount val="5"/>
                <c:lvl>
                  <c:pt idx="0">
                    <c:v>verkenningsfase</c:v>
                  </c:pt>
                  <c:pt idx="1">
                    <c:v>verkenningsfase</c:v>
                  </c:pt>
                  <c:pt idx="2">
                    <c:v>verkenningsfase</c:v>
                  </c:pt>
                  <c:pt idx="3">
                    <c:v>verkenningsfase</c:v>
                  </c:pt>
                  <c:pt idx="4">
                    <c:v>verkenningsfase</c:v>
                  </c:pt>
                </c:lvl>
                <c:lvl>
                  <c:pt idx="0">
                    <c:v>invoer Basis NIET VOLLEDIG</c:v>
                  </c:pt>
                  <c:pt idx="1">
                    <c:v>A1 NIET VOLLEDIG</c:v>
                  </c:pt>
                  <c:pt idx="2">
                    <c:v>B1 NIET VOLLEDIG</c:v>
                  </c:pt>
                  <c:pt idx="3">
                    <c:v>C1 NIET VOLLEDIG</c:v>
                  </c:pt>
                  <c:pt idx="4">
                    <c:v>D1 NIET VOLLEDIG</c:v>
                  </c:pt>
                </c:lvl>
              </c:multiLvlStrCache>
            </c:multiLvlStrRef>
          </c:cat>
          <c:val>
            <c:numRef>
              <c:f>'info vergelijk'!$D$56:$H$56</c:f>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1-2E8B-4861-BEA4-FBE359D2463D}"/>
            </c:ext>
          </c:extLst>
        </c:ser>
        <c:dLbls>
          <c:showLegendKey val="0"/>
          <c:showVal val="0"/>
          <c:showCatName val="0"/>
          <c:showSerName val="0"/>
          <c:showPercent val="0"/>
          <c:showBubbleSize val="0"/>
        </c:dLbls>
        <c:gapWidth val="100"/>
        <c:overlap val="100"/>
        <c:axId val="620690952"/>
        <c:axId val="620694560"/>
      </c:barChart>
      <c:lineChart>
        <c:grouping val="stacked"/>
        <c:varyColors val="0"/>
        <c:ser>
          <c:idx val="9"/>
          <c:order val="9"/>
          <c:tx>
            <c:strRef>
              <c:f>'info vergelijk'!$C$57</c:f>
              <c:strCache>
                <c:ptCount val="1"/>
                <c:pt idx="0">
                  <c:v>CPI</c:v>
                </c:pt>
              </c:strCache>
            </c:strRef>
          </c:tx>
          <c:spPr>
            <a:ln w="28575" cap="rnd">
              <a:noFill/>
              <a:round/>
            </a:ln>
            <a:effectLst/>
          </c:spPr>
          <c:marker>
            <c:symbol val="circle"/>
            <c:size val="5"/>
            <c:spPr>
              <a:noFill/>
              <a:ln w="9525">
                <a:noFill/>
              </a:ln>
              <a:effectLst/>
            </c:spPr>
          </c:marker>
          <c:dLbls>
            <c:numFmt formatCode="#,##0" sourceLinked="0"/>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tx1">
                        <a:lumMod val="75000"/>
                        <a:lumOff val="25000"/>
                      </a:schemeClr>
                    </a:solidFill>
                    <a:latin typeface="+mn-lt"/>
                    <a:ea typeface="+mn-ea"/>
                    <a:cs typeface="+mn-cs"/>
                  </a:defRPr>
                </a:pPr>
                <a:endParaRPr lang="nl-NL"/>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'info vergelijk'!$D$13:$H$14</c:f>
              <c:multiLvlStrCache>
                <c:ptCount val="5"/>
                <c:lvl>
                  <c:pt idx="0">
                    <c:v>verkenningsfase</c:v>
                  </c:pt>
                  <c:pt idx="1">
                    <c:v>verkenningsfase</c:v>
                  </c:pt>
                  <c:pt idx="2">
                    <c:v>verkenningsfase</c:v>
                  </c:pt>
                  <c:pt idx="3">
                    <c:v>verkenningsfase</c:v>
                  </c:pt>
                  <c:pt idx="4">
                    <c:v>verkenningsfase</c:v>
                  </c:pt>
                </c:lvl>
                <c:lvl>
                  <c:pt idx="0">
                    <c:v>invoer Basis NIET VOLLEDIG</c:v>
                  </c:pt>
                  <c:pt idx="1">
                    <c:v>A1 NIET VOLLEDIG</c:v>
                  </c:pt>
                  <c:pt idx="2">
                    <c:v>B1 NIET VOLLEDIG</c:v>
                  </c:pt>
                  <c:pt idx="3">
                    <c:v>C1 NIET VOLLEDIG</c:v>
                  </c:pt>
                  <c:pt idx="4">
                    <c:v>D1 NIET VOLLEDIG</c:v>
                  </c:pt>
                </c:lvl>
              </c:multiLvlStrCache>
            </c:multiLvlStrRef>
          </c:cat>
          <c:val>
            <c:numRef>
              <c:f>'info vergelijk'!$D$57:$H$57</c:f>
              <c:numCache>
                <c:formatCode>0.0</c:formatCode>
                <c:ptCount val="5"/>
                <c:pt idx="0">
                  <c:v>0</c:v>
                </c:pt>
                <c:pt idx="1">
                  <c:v>0</c:v>
                </c:pt>
                <c:pt idx="2">
                  <c:v>0</c:v>
                </c:pt>
                <c:pt idx="3">
                  <c:v>0</c:v>
                </c:pt>
                <c:pt idx="4">
                  <c:v>0</c:v>
                </c:pt>
              </c:numCache>
            </c:numRef>
          </c:val>
          <c:smooth val="0"/>
          <c:extLst>
            <c:ext xmlns:c16="http://schemas.microsoft.com/office/drawing/2014/chart" uri="{C3380CC4-5D6E-409C-BE32-E72D297353CC}">
              <c16:uniqueId val="{00000002-2E8B-4861-BEA4-FBE359D2463D}"/>
            </c:ext>
          </c:extLst>
        </c:ser>
        <c:dLbls>
          <c:showLegendKey val="0"/>
          <c:showVal val="0"/>
          <c:showCatName val="0"/>
          <c:showSerName val="0"/>
          <c:showPercent val="0"/>
          <c:showBubbleSize val="0"/>
        </c:dLbls>
        <c:marker val="1"/>
        <c:smooth val="0"/>
        <c:axId val="620690952"/>
        <c:axId val="620694560"/>
      </c:lineChart>
      <c:catAx>
        <c:axId val="6206909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600" b="0" i="0" u="none" strike="noStrike" kern="1200" baseline="0">
                <a:solidFill>
                  <a:schemeClr val="tx1">
                    <a:lumMod val="65000"/>
                    <a:lumOff val="35000"/>
                  </a:schemeClr>
                </a:solidFill>
                <a:latin typeface="+mn-lt"/>
                <a:ea typeface="+mn-ea"/>
                <a:cs typeface="+mn-cs"/>
              </a:defRPr>
            </a:pPr>
            <a:endParaRPr lang="nl-NL"/>
          </a:p>
        </c:txPr>
        <c:crossAx val="620694560"/>
        <c:crosses val="autoZero"/>
        <c:auto val="1"/>
        <c:lblAlgn val="ctr"/>
        <c:lblOffset val="100"/>
        <c:noMultiLvlLbl val="0"/>
      </c:catAx>
      <c:valAx>
        <c:axId val="620694560"/>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r>
                  <a:rPr lang="nl-NL" sz="2400"/>
                  <a:t>Circulair Peil Index (CPI)  (max 100)</a:t>
                </a:r>
              </a:p>
            </c:rich>
          </c:tx>
          <c:overlay val="0"/>
          <c:spPr>
            <a:noFill/>
            <a:ln>
              <a:noFill/>
            </a:ln>
            <a:effectLst/>
          </c:spPr>
          <c:txPr>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endParaRPr lang="nl-NL"/>
            </a:p>
          </c:txPr>
        </c:title>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20690952"/>
        <c:crosses val="autoZero"/>
        <c:crossBetween val="between"/>
        <c:majorUnit val="20"/>
      </c:valAx>
      <c:spPr>
        <a:solidFill>
          <a:schemeClr val="bg2"/>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nl-NL" sz="1600" b="1"/>
              <a:t>Ongewogen</a:t>
            </a:r>
            <a:r>
              <a:rPr lang="nl-NL" sz="1600" b="1" baseline="0"/>
              <a:t> score van de </a:t>
            </a:r>
            <a:r>
              <a:rPr lang="nl-NL" sz="1600" b="1"/>
              <a:t>12 items uit de procesmonitor </a:t>
            </a:r>
          </a:p>
          <a:p>
            <a:pPr>
              <a:defRPr b="1"/>
            </a:pPr>
            <a:r>
              <a:rPr lang="nl-NL" sz="1600" b="1"/>
              <a:t>(tussenresultaat voor de CPI berekening)</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15937091571511344"/>
          <c:y val="0.11475852829138967"/>
          <c:w val="0.8214710861072767"/>
          <c:h val="0.72342070254916757"/>
        </c:manualLayout>
      </c:layout>
      <c:barChart>
        <c:barDir val="col"/>
        <c:grouping val="stacked"/>
        <c:varyColors val="0"/>
        <c:ser>
          <c:idx val="0"/>
          <c:order val="0"/>
          <c:tx>
            <c:strRef>
              <c:f>'info vergelijk'!$C$13</c:f>
              <c:strCache>
                <c:ptCount val="1"/>
                <c:pt idx="0">
                  <c:v>Naam alternatief:</c:v>
                </c:pt>
              </c:strCache>
            </c:strRef>
          </c:tx>
          <c:spPr>
            <a:solidFill>
              <a:schemeClr val="accent1"/>
            </a:solidFill>
            <a:ln>
              <a:noFill/>
            </a:ln>
            <a:effectLst/>
          </c:spPr>
          <c:invertIfNegative val="0"/>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vergelijk'!$D$13:$M$13</c15:sqref>
                  </c15:fullRef>
                </c:ext>
              </c:extLst>
              <c:f>'info vergelijk'!$D$13:$H$13</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0-9212-4B73-B2B0-B4FAE205D9C8}"/>
            </c:ext>
          </c:extLst>
        </c:ser>
        <c:ser>
          <c:idx val="1"/>
          <c:order val="1"/>
          <c:tx>
            <c:strRef>
              <c:f>'info vergelijk'!$C$14</c:f>
              <c:strCache>
                <c:ptCount val="1"/>
                <c:pt idx="0">
                  <c:v>FASE</c:v>
                </c:pt>
              </c:strCache>
            </c:strRef>
          </c:tx>
          <c:spPr>
            <a:solidFill>
              <a:schemeClr val="accent2"/>
            </a:solidFill>
            <a:ln>
              <a:noFill/>
            </a:ln>
            <a:effectLst/>
          </c:spPr>
          <c:invertIfNegative val="0"/>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vergelijk'!$D$14:$M$14</c15:sqref>
                  </c15:fullRef>
                </c:ext>
              </c:extLst>
              <c:f>'info vergelijk'!$D$14:$H$14</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1-9212-4B73-B2B0-B4FAE205D9C8}"/>
            </c:ext>
          </c:extLst>
        </c:ser>
        <c:ser>
          <c:idx val="2"/>
          <c:order val="2"/>
          <c:tx>
            <c:strRef>
              <c:f>'info vergelijk'!$C$15</c:f>
              <c:strCache>
                <c:ptCount val="1"/>
                <c:pt idx="0">
                  <c:v>Voorkómen: niet doen wat echt niet hoeft</c:v>
                </c:pt>
              </c:strCache>
            </c:strRef>
          </c:tx>
          <c:spPr>
            <a:solidFill>
              <a:schemeClr val="accent3"/>
            </a:solidFill>
            <a:ln>
              <a:noFill/>
            </a:ln>
            <a:effectLst/>
          </c:spPr>
          <c:invertIfNegative val="0"/>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vergelijk'!$D$15:$M$15</c15:sqref>
                  </c15:fullRef>
                </c:ext>
              </c:extLst>
              <c:f>'info vergelijk'!$D$15:$H$15</c:f>
              <c:numCache>
                <c:formatCode>General</c:formatCode>
                <c:ptCount val="5"/>
              </c:numCache>
            </c:numRef>
          </c:val>
          <c:extLst>
            <c:ext xmlns:c16="http://schemas.microsoft.com/office/drawing/2014/chart" uri="{C3380CC4-5D6E-409C-BE32-E72D297353CC}">
              <c16:uniqueId val="{00000002-9212-4B73-B2B0-B4FAE205D9C8}"/>
            </c:ext>
          </c:extLst>
        </c:ser>
        <c:ser>
          <c:idx val="3"/>
          <c:order val="3"/>
          <c:tx>
            <c:strRef>
              <c:f>'info vergelijk'!$C$16</c:f>
              <c:strCache>
                <c:ptCount val="1"/>
                <c:pt idx="0">
                  <c:v>verklein de omvang van de opgave. Wees kritisch t.a.v. eisen/uitgangspunten. Hergebruik materialen/elementen of een nieuwe/dubbelfunctie</c:v>
                </c:pt>
              </c:strCache>
            </c:strRef>
          </c:tx>
          <c:spPr>
            <a:solidFill>
              <a:schemeClr val="tx1">
                <a:lumMod val="50000"/>
                <a:lumOff val="50000"/>
              </a:schemeClr>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lumMod val="9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vergelijk'!$D$16:$M$16</c15:sqref>
                  </c15:fullRef>
                </c:ext>
              </c:extLst>
              <c:f>'info vergelijk'!$D$16:$H$16</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3-9212-4B73-B2B0-B4FAE205D9C8}"/>
            </c:ext>
          </c:extLst>
        </c:ser>
        <c:ser>
          <c:idx val="4"/>
          <c:order val="4"/>
          <c:tx>
            <c:strRef>
              <c:f>'info vergelijk'!$C$17</c:f>
              <c:strCache>
                <c:ptCount val="1"/>
                <c:pt idx="0">
                  <c:v>Verleng de levensduur van bestaande objecten of componenten</c:v>
                </c:pt>
              </c:strCache>
            </c:strRef>
          </c:tx>
          <c:spPr>
            <a:solidFill>
              <a:schemeClr val="accent5"/>
            </a:solidFill>
            <a:ln>
              <a:noFill/>
            </a:ln>
            <a:effectLst/>
          </c:spPr>
          <c:invertIfNegative val="0"/>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vergelijk'!$D$17:$M$17</c15:sqref>
                  </c15:fullRef>
                </c:ext>
              </c:extLst>
              <c:f>'info vergelijk'!$D$17:$H$17</c:f>
              <c:numCache>
                <c:formatCode>General</c:formatCode>
                <c:ptCount val="5"/>
              </c:numCache>
            </c:numRef>
          </c:val>
          <c:extLst>
            <c:ext xmlns:c16="http://schemas.microsoft.com/office/drawing/2014/chart" uri="{C3380CC4-5D6E-409C-BE32-E72D297353CC}">
              <c16:uniqueId val="{00000004-9212-4B73-B2B0-B4FAE205D9C8}"/>
            </c:ext>
          </c:extLst>
        </c:ser>
        <c:ser>
          <c:idx val="5"/>
          <c:order val="5"/>
          <c:tx>
            <c:strRef>
              <c:f>'info vergelijk'!$C$18</c:f>
              <c:strCache>
                <c:ptCount val="1"/>
                <c:pt idx="0">
                  <c:v>mogelijkheden voor verlenging van de levensduur van bestaande objecten</c:v>
                </c:pt>
              </c:strCache>
            </c:strRef>
          </c:tx>
          <c:spPr>
            <a:solidFill>
              <a:srgbClr val="FF000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vergelijk'!$D$18:$M$18</c15:sqref>
                  </c15:fullRef>
                </c:ext>
              </c:extLst>
              <c:f>'info vergelijk'!$D$18:$H$18</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5-9212-4B73-B2B0-B4FAE205D9C8}"/>
            </c:ext>
          </c:extLst>
        </c:ser>
        <c:ser>
          <c:idx val="6"/>
          <c:order val="6"/>
          <c:tx>
            <c:strRef>
              <c:f>'info vergelijk'!$C$19</c:f>
              <c:strCache>
                <c:ptCount val="1"/>
                <c:pt idx="0">
                  <c:v>Duurzaam gebruik van bestaande objecten, materialen, grondstoffen en natuurlijke processen</c:v>
                </c:pt>
              </c:strCache>
            </c:strRef>
          </c:tx>
          <c:spPr>
            <a:solidFill>
              <a:schemeClr val="accent1">
                <a:lumMod val="60000"/>
              </a:schemeClr>
            </a:solidFill>
            <a:ln>
              <a:noFill/>
            </a:ln>
            <a:effectLst/>
          </c:spPr>
          <c:invertIfNegative val="0"/>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vergelijk'!$D$19:$M$19</c15:sqref>
                  </c15:fullRef>
                </c:ext>
              </c:extLst>
              <c:f>'info vergelijk'!$D$19:$H$19</c:f>
              <c:numCache>
                <c:formatCode>General</c:formatCode>
                <c:ptCount val="5"/>
              </c:numCache>
            </c:numRef>
          </c:val>
          <c:extLst>
            <c:ext xmlns:c16="http://schemas.microsoft.com/office/drawing/2014/chart" uri="{C3380CC4-5D6E-409C-BE32-E72D297353CC}">
              <c16:uniqueId val="{00000006-9212-4B73-B2B0-B4FAE205D9C8}"/>
            </c:ext>
          </c:extLst>
        </c:ser>
        <c:ser>
          <c:idx val="7"/>
          <c:order val="7"/>
          <c:tx>
            <c:strRef>
              <c:f>'info vergelijk'!$C$20</c:f>
              <c:strCache>
                <c:ptCount val="1"/>
                <c:pt idx="0">
                  <c:v>restwaarde voor hergebruik bepalen van bestaande objecten, componenten en materialen</c:v>
                </c:pt>
              </c:strCache>
            </c:strRef>
          </c:tx>
          <c:spPr>
            <a:solidFill>
              <a:schemeClr val="accent6">
                <a:lumMod val="40000"/>
                <a:lumOff val="60000"/>
              </a:schemeClr>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vergelijk'!$D$20:$M$20</c15:sqref>
                  </c15:fullRef>
                </c:ext>
              </c:extLst>
              <c:f>'info vergelijk'!$D$20:$H$20</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7-9212-4B73-B2B0-B4FAE205D9C8}"/>
            </c:ext>
          </c:extLst>
        </c:ser>
        <c:ser>
          <c:idx val="8"/>
          <c:order val="8"/>
          <c:tx>
            <c:strRef>
              <c:f>'info vergelijk'!$C$21</c:f>
              <c:strCache>
                <c:ptCount val="1"/>
                <c:pt idx="0">
                  <c:v>gebruik van materialen(data)banken</c:v>
                </c:pt>
              </c:strCache>
            </c:strRef>
          </c:tx>
          <c:spPr>
            <a:solidFill>
              <a:schemeClr val="accent6">
                <a:lumMod val="60000"/>
                <a:lumOff val="40000"/>
              </a:schemeClr>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vergelijk'!$D$21:$M$21</c15:sqref>
                  </c15:fullRef>
                </c:ext>
              </c:extLst>
              <c:f>'info vergelijk'!$D$21:$H$21</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8-9212-4B73-B2B0-B4FAE205D9C8}"/>
            </c:ext>
          </c:extLst>
        </c:ser>
        <c:ser>
          <c:idx val="9"/>
          <c:order val="9"/>
          <c:tx>
            <c:strRef>
              <c:f>'info vergelijk'!$C$22</c:f>
              <c:strCache>
                <c:ptCount val="1"/>
                <c:pt idx="0">
                  <c:v>(potentiële kansen voor) inzet van aanwezige natuurlijke processen</c:v>
                </c:pt>
              </c:strCache>
            </c:strRef>
          </c:tx>
          <c:spPr>
            <a:solidFill>
              <a:srgbClr val="92D05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vergelijk'!$D$22:$M$22</c15:sqref>
                  </c15:fullRef>
                </c:ext>
              </c:extLst>
              <c:f>'info vergelijk'!$D$22:$H$22</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9-9212-4B73-B2B0-B4FAE205D9C8}"/>
            </c:ext>
          </c:extLst>
        </c:ser>
        <c:ser>
          <c:idx val="10"/>
          <c:order val="10"/>
          <c:tx>
            <c:strRef>
              <c:f>'info vergelijk'!$C$23</c:f>
              <c:strCache>
                <c:ptCount val="1"/>
                <c:pt idx="0">
                  <c:v>Ontwerp voor meerdere levenscycli</c:v>
                </c:pt>
              </c:strCache>
            </c:strRef>
          </c:tx>
          <c:spPr>
            <a:solidFill>
              <a:schemeClr val="accent5">
                <a:lumMod val="60000"/>
              </a:schemeClr>
            </a:solidFill>
            <a:ln>
              <a:noFill/>
            </a:ln>
            <a:effectLst/>
          </c:spPr>
          <c:invertIfNegative val="0"/>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vergelijk'!$D$23:$M$23</c15:sqref>
                  </c15:fullRef>
                </c:ext>
              </c:extLst>
              <c:f>'info vergelijk'!$D$23:$H$23</c:f>
              <c:numCache>
                <c:formatCode>General</c:formatCode>
                <c:ptCount val="5"/>
              </c:numCache>
            </c:numRef>
          </c:val>
          <c:extLst>
            <c:ext xmlns:c16="http://schemas.microsoft.com/office/drawing/2014/chart" uri="{C3380CC4-5D6E-409C-BE32-E72D297353CC}">
              <c16:uniqueId val="{0000000B-9212-4B73-B2B0-B4FAE205D9C8}"/>
            </c:ext>
          </c:extLst>
        </c:ser>
        <c:ser>
          <c:idx val="11"/>
          <c:order val="11"/>
          <c:tx>
            <c:strRef>
              <c:f>'info vergelijk'!$C$24</c:f>
              <c:strCache>
                <c:ptCount val="1"/>
                <c:pt idx="0">
                  <c:v>herbruikbaarheid van materialen/elementen (na einde levensduur)  in ontwerp</c:v>
                </c:pt>
              </c:strCache>
            </c:strRef>
          </c:tx>
          <c:spPr>
            <a:solidFill>
              <a:schemeClr val="accent4">
                <a:lumMod val="40000"/>
                <a:lumOff val="60000"/>
              </a:schemeClr>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vergelijk'!$D$24:$M$24</c15:sqref>
                  </c15:fullRef>
                </c:ext>
              </c:extLst>
              <c:f>'info vergelijk'!$D$24:$H$24</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C-9212-4B73-B2B0-B4FAE205D9C8}"/>
            </c:ext>
          </c:extLst>
        </c:ser>
        <c:ser>
          <c:idx val="12"/>
          <c:order val="12"/>
          <c:tx>
            <c:strRef>
              <c:f>'info vergelijk'!$C$25</c:f>
              <c:strCache>
                <c:ptCount val="1"/>
                <c:pt idx="0">
                  <c:v>materialenpaspoort</c:v>
                </c:pt>
              </c:strCache>
            </c:strRef>
          </c:tx>
          <c:spPr>
            <a:solidFill>
              <a:srgbClr val="FFC00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vergelijk'!$D$25:$M$25</c15:sqref>
                  </c15:fullRef>
                </c:ext>
              </c:extLst>
              <c:f>'info vergelijk'!$D$25:$H$25</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D-9212-4B73-B2B0-B4FAE205D9C8}"/>
            </c:ext>
          </c:extLst>
        </c:ser>
        <c:ser>
          <c:idx val="13"/>
          <c:order val="13"/>
          <c:tx>
            <c:strRef>
              <c:f>'info vergelijk'!$C$26</c:f>
              <c:strCache>
                <c:ptCount val="1"/>
                <c:pt idx="0">
                  <c:v>Ontwerp toekomstbestendig</c:v>
                </c:pt>
              </c:strCache>
            </c:strRef>
          </c:tx>
          <c:spPr>
            <a:solidFill>
              <a:schemeClr val="accent2">
                <a:lumMod val="80000"/>
                <a:lumOff val="20000"/>
              </a:schemeClr>
            </a:solidFill>
            <a:ln>
              <a:noFill/>
            </a:ln>
            <a:effectLst/>
          </c:spPr>
          <c:invertIfNegative val="0"/>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vergelijk'!$D$26:$M$26</c15:sqref>
                  </c15:fullRef>
                </c:ext>
              </c:extLst>
              <c:f>'info vergelijk'!$D$26:$H$26</c:f>
              <c:numCache>
                <c:formatCode>General</c:formatCode>
                <c:ptCount val="5"/>
              </c:numCache>
            </c:numRef>
          </c:val>
          <c:extLst>
            <c:ext xmlns:c16="http://schemas.microsoft.com/office/drawing/2014/chart" uri="{C3380CC4-5D6E-409C-BE32-E72D297353CC}">
              <c16:uniqueId val="{0000000E-9212-4B73-B2B0-B4FAE205D9C8}"/>
            </c:ext>
          </c:extLst>
        </c:ser>
        <c:ser>
          <c:idx val="14"/>
          <c:order val="14"/>
          <c:tx>
            <c:strRef>
              <c:f>'info vergelijk'!$C$27</c:f>
              <c:strCache>
                <c:ptCount val="1"/>
                <c:pt idx="0">
                  <c:v>adaptief en toekomstgericht. Betrek omgeving bij planvorming</c:v>
                </c:pt>
              </c:strCache>
            </c:strRef>
          </c:tx>
          <c:spPr>
            <a:solidFill>
              <a:srgbClr val="000099"/>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lumMod val="9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vergelijk'!$D$27:$M$27</c15:sqref>
                  </c15:fullRef>
                </c:ext>
              </c:extLst>
              <c:f>'info vergelijk'!$D$27:$H$27</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F-9212-4B73-B2B0-B4FAE205D9C8}"/>
            </c:ext>
          </c:extLst>
        </c:ser>
        <c:ser>
          <c:idx val="15"/>
          <c:order val="15"/>
          <c:tx>
            <c:strRef>
              <c:f>'info vergelijk'!$C$28</c:f>
              <c:strCache>
                <c:ptCount val="1"/>
                <c:pt idx="0">
                  <c:v>Ontwerp voor optimaal beheer en onderhoud </c:v>
                </c:pt>
              </c:strCache>
            </c:strRef>
          </c:tx>
          <c:spPr>
            <a:solidFill>
              <a:schemeClr val="accent4">
                <a:lumMod val="80000"/>
                <a:lumOff val="20000"/>
              </a:schemeClr>
            </a:solidFill>
            <a:ln>
              <a:noFill/>
            </a:ln>
            <a:effectLst/>
          </c:spPr>
          <c:invertIfNegative val="0"/>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vergelijk'!$D$28:$M$28</c15:sqref>
                  </c15:fullRef>
                </c:ext>
              </c:extLst>
              <c:f>'info vergelijk'!$D$28:$H$28</c:f>
              <c:numCache>
                <c:formatCode>General</c:formatCode>
                <c:ptCount val="5"/>
              </c:numCache>
            </c:numRef>
          </c:val>
          <c:extLst>
            <c:ext xmlns:c16="http://schemas.microsoft.com/office/drawing/2014/chart" uri="{C3380CC4-5D6E-409C-BE32-E72D297353CC}">
              <c16:uniqueId val="{00000010-9212-4B73-B2B0-B4FAE205D9C8}"/>
            </c:ext>
          </c:extLst>
        </c:ser>
        <c:ser>
          <c:idx val="16"/>
          <c:order val="16"/>
          <c:tx>
            <c:strRef>
              <c:f>'info vergelijk'!$C$29</c:f>
              <c:strCache>
                <c:ptCount val="1"/>
                <c:pt idx="0">
                  <c:v>beheer- en onderhoudsaspecten</c:v>
                </c:pt>
              </c:strCache>
            </c:strRef>
          </c:tx>
          <c:spPr>
            <a:solidFill>
              <a:srgbClr val="6666FF"/>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vergelijk'!$D$29:$M$29</c15:sqref>
                  </c15:fullRef>
                </c:ext>
              </c:extLst>
              <c:f>'info vergelijk'!$D$29:$H$29</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11-9212-4B73-B2B0-B4FAE205D9C8}"/>
            </c:ext>
          </c:extLst>
        </c:ser>
        <c:ser>
          <c:idx val="17"/>
          <c:order val="17"/>
          <c:tx>
            <c:strRef>
              <c:f>'info vergelijk'!$C$30</c:f>
              <c:strCache>
                <c:ptCount val="1"/>
                <c:pt idx="0">
                  <c:v>Duurzaam materiaalgebruik (hoeveel x milieubelasting)</c:v>
                </c:pt>
              </c:strCache>
            </c:strRef>
          </c:tx>
          <c:spPr>
            <a:solidFill>
              <a:schemeClr val="accent6">
                <a:lumMod val="80000"/>
                <a:lumOff val="20000"/>
              </a:schemeClr>
            </a:solidFill>
            <a:ln>
              <a:noFill/>
            </a:ln>
            <a:effectLst/>
          </c:spPr>
          <c:invertIfNegative val="0"/>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vergelijk'!$D$30:$M$30</c15:sqref>
                  </c15:fullRef>
                </c:ext>
              </c:extLst>
              <c:f>'info vergelijk'!$D$30:$H$30</c:f>
              <c:numCache>
                <c:formatCode>General</c:formatCode>
                <c:ptCount val="5"/>
              </c:numCache>
            </c:numRef>
          </c:val>
          <c:extLst>
            <c:ext xmlns:c16="http://schemas.microsoft.com/office/drawing/2014/chart" uri="{C3380CC4-5D6E-409C-BE32-E72D297353CC}">
              <c16:uniqueId val="{00000012-9212-4B73-B2B0-B4FAE205D9C8}"/>
            </c:ext>
          </c:extLst>
        </c:ser>
        <c:ser>
          <c:idx val="18"/>
          <c:order val="18"/>
          <c:tx>
            <c:strRef>
              <c:f>'info vergelijk'!$C$31</c:f>
              <c:strCache>
                <c:ptCount val="1"/>
                <c:pt idx="0">
                  <c:v>Milieuimpact</c:v>
                </c:pt>
              </c:strCache>
            </c:strRef>
          </c:tx>
          <c:spPr>
            <a:solidFill>
              <a:schemeClr val="accent2">
                <a:lumMod val="60000"/>
                <a:lumOff val="40000"/>
              </a:schemeClr>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vergelijk'!$D$31:$M$31</c15:sqref>
                  </c15:fullRef>
                </c:ext>
              </c:extLst>
              <c:f>'info vergelijk'!$D$31:$H$31</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13-9212-4B73-B2B0-B4FAE205D9C8}"/>
            </c:ext>
          </c:extLst>
        </c:ser>
        <c:ser>
          <c:idx val="19"/>
          <c:order val="19"/>
          <c:tx>
            <c:strRef>
              <c:f>'info vergelijk'!$C$32</c:f>
              <c:strCache>
                <c:ptCount val="1"/>
                <c:pt idx="0">
                  <c:v>Circulariteit</c:v>
                </c:pt>
              </c:strCache>
            </c:strRef>
          </c:tx>
          <c:spPr>
            <a:solidFill>
              <a:srgbClr val="FF660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vergelijk'!$D$32:$M$32</c15:sqref>
                  </c15:fullRef>
                </c:ext>
              </c:extLst>
              <c:f>'info vergelijk'!$D$32:$H$32</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14-9212-4B73-B2B0-B4FAE205D9C8}"/>
            </c:ext>
          </c:extLst>
        </c:ser>
        <c:ser>
          <c:idx val="20"/>
          <c:order val="20"/>
          <c:tx>
            <c:strRef>
              <c:f>'info vergelijk'!$C$33</c:f>
              <c:strCache>
                <c:ptCount val="1"/>
                <c:pt idx="0">
                  <c:v>Ontwerp voor minimaal grondstof- en energiegebruik in de aanleg/gebruiksfase</c:v>
                </c:pt>
              </c:strCache>
            </c:strRef>
          </c:tx>
          <c:spPr>
            <a:solidFill>
              <a:schemeClr val="accent3">
                <a:lumMod val="80000"/>
              </a:schemeClr>
            </a:solidFill>
            <a:ln>
              <a:noFill/>
            </a:ln>
            <a:effectLst/>
          </c:spPr>
          <c:invertIfNegative val="0"/>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vergelijk'!$D$33:$M$33</c15:sqref>
                  </c15:fullRef>
                </c:ext>
              </c:extLst>
              <c:f>'info vergelijk'!$D$33:$H$33</c:f>
              <c:numCache>
                <c:formatCode>General</c:formatCode>
                <c:ptCount val="5"/>
              </c:numCache>
            </c:numRef>
          </c:val>
          <c:extLst>
            <c:ext xmlns:c16="http://schemas.microsoft.com/office/drawing/2014/chart" uri="{C3380CC4-5D6E-409C-BE32-E72D297353CC}">
              <c16:uniqueId val="{00000015-9212-4B73-B2B0-B4FAE205D9C8}"/>
            </c:ext>
          </c:extLst>
        </c:ser>
        <c:ser>
          <c:idx val="21"/>
          <c:order val="21"/>
          <c:tx>
            <c:strRef>
              <c:f>'info vergelijk'!$C$34</c:f>
              <c:strCache>
                <c:ptCount val="1"/>
                <c:pt idx="0">
                  <c:v>CO2 impact materialen en energiegebruik</c:v>
                </c:pt>
              </c:strCache>
            </c:strRef>
          </c:tx>
          <c:spPr>
            <a:solidFill>
              <a:srgbClr val="C0000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lumMod val="9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'info vergelijk'!$D$13:$M$13</c15:sqref>
                  </c15:fullRef>
                </c:ext>
              </c:extLst>
              <c:f>'info vergelijk'!$D$13:$H$13</c:f>
              <c:strCache>
                <c:ptCount val="5"/>
                <c:pt idx="0">
                  <c:v>invoer Basis NIET VOLLEDIG</c:v>
                </c:pt>
                <c:pt idx="1">
                  <c:v>A1 NIET VOLLEDIG</c:v>
                </c:pt>
                <c:pt idx="2">
                  <c:v>B1 NIET VOLLEDIG</c:v>
                </c:pt>
                <c:pt idx="3">
                  <c:v>C1 NIET VOLLEDIG</c:v>
                </c:pt>
                <c:pt idx="4">
                  <c:v>D1 NIET VOLLEDIG</c:v>
                </c:pt>
              </c:strCache>
            </c:strRef>
          </c:cat>
          <c:val>
            <c:numRef>
              <c:extLst>
                <c:ext xmlns:c15="http://schemas.microsoft.com/office/drawing/2012/chart" uri="{02D57815-91ED-43cb-92C2-25804820EDAC}">
                  <c15:fullRef>
                    <c15:sqref>'info vergelijk'!$D$34:$M$34</c15:sqref>
                  </c15:fullRef>
                </c:ext>
              </c:extLst>
              <c:f>'info vergelijk'!$D$34:$H$34</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16-9212-4B73-B2B0-B4FAE205D9C8}"/>
            </c:ext>
          </c:extLst>
        </c:ser>
        <c:dLbls>
          <c:showLegendKey val="0"/>
          <c:showVal val="0"/>
          <c:showCatName val="0"/>
          <c:showSerName val="0"/>
          <c:showPercent val="0"/>
          <c:showBubbleSize val="0"/>
        </c:dLbls>
        <c:gapWidth val="150"/>
        <c:overlap val="100"/>
        <c:axId val="1635605616"/>
        <c:axId val="1635601872"/>
      </c:barChart>
      <c:catAx>
        <c:axId val="1635605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nl-NL"/>
          </a:p>
        </c:txPr>
        <c:crossAx val="1635601872"/>
        <c:crosses val="autoZero"/>
        <c:auto val="1"/>
        <c:lblAlgn val="ctr"/>
        <c:lblOffset val="100"/>
        <c:noMultiLvlLbl val="0"/>
      </c:catAx>
      <c:valAx>
        <c:axId val="1635601872"/>
        <c:scaling>
          <c:orientation val="minMax"/>
        </c:scaling>
        <c:delete val="1"/>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r>
                  <a:rPr lang="en-US" sz="2400"/>
                  <a:t>Ongewogen score per</a:t>
                </a:r>
                <a:r>
                  <a:rPr lang="en-US" sz="2400" baseline="0"/>
                  <a:t> item [pnt]</a:t>
                </a:r>
              </a:p>
              <a:p>
                <a:pPr>
                  <a:defRPr sz="2400"/>
                </a:pPr>
                <a:endParaRPr lang="en-US" sz="2400"/>
              </a:p>
            </c:rich>
          </c:tx>
          <c:overlay val="0"/>
          <c:spPr>
            <a:noFill/>
            <a:ln>
              <a:noFill/>
            </a:ln>
            <a:effectLst/>
          </c:spPr>
          <c:txPr>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endParaRPr lang="nl-NL"/>
            </a:p>
          </c:txPr>
        </c:title>
        <c:numFmt formatCode="General" sourceLinked="1"/>
        <c:majorTickMark val="none"/>
        <c:minorTickMark val="none"/>
        <c:tickLblPos val="nextTo"/>
        <c:crossAx val="1635605616"/>
        <c:crosses val="autoZero"/>
        <c:crossBetween val="between"/>
      </c:valAx>
      <c:spPr>
        <a:solidFill>
          <a:schemeClr val="accent3">
            <a:lumMod val="20000"/>
            <a:lumOff val="80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nl-NL"/>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r>
              <a:rPr lang="nl-NL" sz="1800" b="1"/>
              <a:t>Procesmonitor Circulaire Peiler (in detail)</a:t>
            </a:r>
          </a:p>
        </c:rich>
      </c:tx>
      <c:overlay val="0"/>
      <c:spPr>
        <a:noFill/>
        <a:ln>
          <a:noFill/>
        </a:ln>
        <a:effectLst/>
      </c:spPr>
      <c:txPr>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tx>
            <c:strRef>
              <c:f>'A1'!$CAA$24</c:f>
              <c:strCache>
                <c:ptCount val="1"/>
                <c:pt idx="0">
                  <c:v>verklein opgave</c:v>
                </c:pt>
              </c:strCache>
            </c:strRef>
          </c:tx>
          <c:spPr>
            <a:solidFill>
              <a:schemeClr val="tx2">
                <a:lumMod val="75000"/>
              </a:schemeClr>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'A1'!$CAB$24:$CAC$24</c:f>
              <c:numCache>
                <c:formatCode>0</c:formatCode>
                <c:ptCount val="2"/>
                <c:pt idx="0">
                  <c:v>#N/A</c:v>
                </c:pt>
                <c:pt idx="1">
                  <c:v>27</c:v>
                </c:pt>
              </c:numCache>
            </c:numRef>
          </c:val>
          <c:extLst>
            <c:ext xmlns:c16="http://schemas.microsoft.com/office/drawing/2014/chart" uri="{C3380CC4-5D6E-409C-BE32-E72D297353CC}">
              <c16:uniqueId val="{00000000-60E6-4FDF-A9F4-21EDD208F363}"/>
            </c:ext>
          </c:extLst>
        </c:ser>
        <c:ser>
          <c:idx val="1"/>
          <c:order val="1"/>
          <c:tx>
            <c:strRef>
              <c:f>'A1'!$CAA$25</c:f>
              <c:strCache>
                <c:ptCount val="1"/>
                <c:pt idx="0">
                  <c:v>levensduurverlenging</c:v>
                </c:pt>
              </c:strCache>
            </c:strRef>
          </c:tx>
          <c:spPr>
            <a:solidFill>
              <a:srgbClr val="FF0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'A1'!$CAB$25:$CAC$25</c:f>
              <c:numCache>
                <c:formatCode>0</c:formatCode>
                <c:ptCount val="2"/>
                <c:pt idx="0">
                  <c:v>#N/A</c:v>
                </c:pt>
                <c:pt idx="1">
                  <c:v>7.0000000000000009</c:v>
                </c:pt>
              </c:numCache>
            </c:numRef>
          </c:val>
          <c:extLst>
            <c:ext xmlns:c16="http://schemas.microsoft.com/office/drawing/2014/chart" uri="{C3380CC4-5D6E-409C-BE32-E72D297353CC}">
              <c16:uniqueId val="{00000001-60E6-4FDF-A9F4-21EDD208F363}"/>
            </c:ext>
          </c:extLst>
        </c:ser>
        <c:ser>
          <c:idx val="2"/>
          <c:order val="2"/>
          <c:tx>
            <c:strRef>
              <c:f>'A1'!$CAA$26</c:f>
              <c:strCache>
                <c:ptCount val="1"/>
                <c:pt idx="0">
                  <c:v>hergebruik</c:v>
                </c:pt>
              </c:strCache>
            </c:strRef>
          </c:tx>
          <c:spPr>
            <a:solidFill>
              <a:srgbClr val="00B05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'A1'!$CAB$26:$CAC$26</c:f>
              <c:numCache>
                <c:formatCode>0</c:formatCode>
                <c:ptCount val="2"/>
                <c:pt idx="0">
                  <c:v>#N/A</c:v>
                </c:pt>
                <c:pt idx="1">
                  <c:v>2.8000000000000003</c:v>
                </c:pt>
              </c:numCache>
            </c:numRef>
          </c:val>
          <c:extLst>
            <c:ext xmlns:c16="http://schemas.microsoft.com/office/drawing/2014/chart" uri="{C3380CC4-5D6E-409C-BE32-E72D297353CC}">
              <c16:uniqueId val="{00000002-60E6-4FDF-A9F4-21EDD208F363}"/>
            </c:ext>
          </c:extLst>
        </c:ser>
        <c:ser>
          <c:idx val="3"/>
          <c:order val="3"/>
          <c:tx>
            <c:strRef>
              <c:f>'A1'!$CAA$27</c:f>
              <c:strCache>
                <c:ptCount val="1"/>
                <c:pt idx="0">
                  <c:v>materialendatabank</c:v>
                </c:pt>
              </c:strCache>
            </c:strRef>
          </c:tx>
          <c:spPr>
            <a:solidFill>
              <a:srgbClr val="00FF99"/>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'A1'!$CAB$27:$CAC$27</c:f>
              <c:numCache>
                <c:formatCode>0</c:formatCode>
                <c:ptCount val="2"/>
                <c:pt idx="0">
                  <c:v>#N/A</c:v>
                </c:pt>
                <c:pt idx="1">
                  <c:v>2.8000000000000003</c:v>
                </c:pt>
              </c:numCache>
            </c:numRef>
          </c:val>
          <c:extLst>
            <c:ext xmlns:c16="http://schemas.microsoft.com/office/drawing/2014/chart" uri="{C3380CC4-5D6E-409C-BE32-E72D297353CC}">
              <c16:uniqueId val="{00000003-60E6-4FDF-A9F4-21EDD208F363}"/>
            </c:ext>
          </c:extLst>
        </c:ser>
        <c:ser>
          <c:idx val="4"/>
          <c:order val="4"/>
          <c:tx>
            <c:strRef>
              <c:f>'A1'!$CAA$28</c:f>
              <c:strCache>
                <c:ptCount val="1"/>
                <c:pt idx="0">
                  <c:v>natuurlijk proces</c:v>
                </c:pt>
              </c:strCache>
            </c:strRef>
          </c:tx>
          <c:spPr>
            <a:solidFill>
              <a:srgbClr val="CCFFCC"/>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'A1'!$CAB$28:$CAC$28</c:f>
              <c:numCache>
                <c:formatCode>0</c:formatCode>
                <c:ptCount val="2"/>
                <c:pt idx="0">
                  <c:v>#N/A</c:v>
                </c:pt>
                <c:pt idx="1">
                  <c:v>1.4000000000000001</c:v>
                </c:pt>
              </c:numCache>
            </c:numRef>
          </c:val>
          <c:extLst>
            <c:ext xmlns:c16="http://schemas.microsoft.com/office/drawing/2014/chart" uri="{C3380CC4-5D6E-409C-BE32-E72D297353CC}">
              <c16:uniqueId val="{00000004-60E6-4FDF-A9F4-21EDD208F363}"/>
            </c:ext>
          </c:extLst>
        </c:ser>
        <c:ser>
          <c:idx val="5"/>
          <c:order val="5"/>
          <c:tx>
            <c:strRef>
              <c:f>'A1'!$CAA$29</c:f>
              <c:strCache>
                <c:ptCount val="1"/>
                <c:pt idx="0">
                  <c:v>herbruikb.na afdank</c:v>
                </c:pt>
              </c:strCache>
            </c:strRef>
          </c:tx>
          <c:spPr>
            <a:solidFill>
              <a:srgbClr val="FFC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'A1'!$CAB$29:$CAC$29</c:f>
              <c:numCache>
                <c:formatCode>0</c:formatCode>
                <c:ptCount val="2"/>
                <c:pt idx="0">
                  <c:v>#N/A</c:v>
                </c:pt>
                <c:pt idx="1">
                  <c:v>6.3000000000000007</c:v>
                </c:pt>
              </c:numCache>
            </c:numRef>
          </c:val>
          <c:extLst>
            <c:ext xmlns:c16="http://schemas.microsoft.com/office/drawing/2014/chart" uri="{C3380CC4-5D6E-409C-BE32-E72D297353CC}">
              <c16:uniqueId val="{00000005-60E6-4FDF-A9F4-21EDD208F363}"/>
            </c:ext>
          </c:extLst>
        </c:ser>
        <c:ser>
          <c:idx val="6"/>
          <c:order val="6"/>
          <c:tx>
            <c:strRef>
              <c:f>'A1'!$CAA$30</c:f>
              <c:strCache>
                <c:ptCount val="1"/>
                <c:pt idx="0">
                  <c:v>materialenpaspoort</c:v>
                </c:pt>
              </c:strCache>
            </c:strRef>
          </c:tx>
          <c:spPr>
            <a:solidFill>
              <a:srgbClr val="FFFF66"/>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'A1'!$CAB$30:$CAC$30</c:f>
              <c:numCache>
                <c:formatCode>0</c:formatCode>
                <c:ptCount val="2"/>
                <c:pt idx="0">
                  <c:v>#N/A</c:v>
                </c:pt>
                <c:pt idx="1">
                  <c:v>0.70000000000000007</c:v>
                </c:pt>
              </c:numCache>
            </c:numRef>
          </c:val>
          <c:extLst>
            <c:ext xmlns:c16="http://schemas.microsoft.com/office/drawing/2014/chart" uri="{C3380CC4-5D6E-409C-BE32-E72D297353CC}">
              <c16:uniqueId val="{00000006-60E6-4FDF-A9F4-21EDD208F363}"/>
            </c:ext>
          </c:extLst>
        </c:ser>
        <c:ser>
          <c:idx val="7"/>
          <c:order val="7"/>
          <c:tx>
            <c:strRef>
              <c:f>'A1'!$CAA$31</c:f>
              <c:strCache>
                <c:ptCount val="1"/>
                <c:pt idx="0">
                  <c:v>toekomstgericht</c:v>
                </c:pt>
              </c:strCache>
            </c:strRef>
          </c:tx>
          <c:spPr>
            <a:solidFill>
              <a:srgbClr val="00206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'A1'!$CAB$31:$CAC$31</c:f>
              <c:numCache>
                <c:formatCode>0</c:formatCode>
                <c:ptCount val="2"/>
                <c:pt idx="0">
                  <c:v>#N/A</c:v>
                </c:pt>
                <c:pt idx="1">
                  <c:v>10</c:v>
                </c:pt>
              </c:numCache>
            </c:numRef>
          </c:val>
          <c:extLst>
            <c:ext xmlns:c16="http://schemas.microsoft.com/office/drawing/2014/chart" uri="{C3380CC4-5D6E-409C-BE32-E72D297353CC}">
              <c16:uniqueId val="{00000007-60E6-4FDF-A9F4-21EDD208F363}"/>
            </c:ext>
          </c:extLst>
        </c:ser>
        <c:ser>
          <c:idx val="8"/>
          <c:order val="8"/>
          <c:tx>
            <c:strRef>
              <c:f>'A1'!$CAA$32</c:f>
              <c:strCache>
                <c:ptCount val="1"/>
                <c:pt idx="0">
                  <c:v>beheer/onderhoud</c:v>
                </c:pt>
              </c:strCache>
            </c:strRef>
          </c:tx>
          <c:spPr>
            <a:solidFill>
              <a:srgbClr val="6666FF"/>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'A1'!$CAB$32:$CAC$32</c:f>
              <c:numCache>
                <c:formatCode>0</c:formatCode>
                <c:ptCount val="2"/>
                <c:pt idx="0">
                  <c:v>#N/A</c:v>
                </c:pt>
                <c:pt idx="1">
                  <c:v>7.0000000000000009</c:v>
                </c:pt>
              </c:numCache>
            </c:numRef>
          </c:val>
          <c:extLst>
            <c:ext xmlns:c16="http://schemas.microsoft.com/office/drawing/2014/chart" uri="{C3380CC4-5D6E-409C-BE32-E72D297353CC}">
              <c16:uniqueId val="{00000008-60E6-4FDF-A9F4-21EDD208F363}"/>
            </c:ext>
          </c:extLst>
        </c:ser>
        <c:ser>
          <c:idx val="9"/>
          <c:order val="9"/>
          <c:tx>
            <c:strRef>
              <c:f>'A1'!$CAA$33</c:f>
              <c:strCache>
                <c:ptCount val="1"/>
                <c:pt idx="0">
                  <c:v>MKIberekening</c:v>
                </c:pt>
              </c:strCache>
            </c:strRef>
          </c:tx>
          <c:spPr>
            <a:solidFill>
              <a:srgbClr val="FF6600">
                <a:alpha val="89804"/>
              </a:srgbClr>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0">
                <a:spAutoFit/>
              </a:bodyPr>
              <a:lstStyle/>
              <a:p>
                <a:pPr algn="ctr">
                  <a:defRPr lang="nl-NL"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'A1'!$CAB$33:$CAC$33</c:f>
              <c:numCache>
                <c:formatCode>0</c:formatCode>
                <c:ptCount val="2"/>
                <c:pt idx="0">
                  <c:v>#N/A</c:v>
                </c:pt>
                <c:pt idx="1">
                  <c:v>20</c:v>
                </c:pt>
              </c:numCache>
            </c:numRef>
          </c:val>
          <c:extLst>
            <c:ext xmlns:c16="http://schemas.microsoft.com/office/drawing/2014/chart" uri="{C3380CC4-5D6E-409C-BE32-E72D297353CC}">
              <c16:uniqueId val="{00000009-60E6-4FDF-A9F4-21EDD208F363}"/>
            </c:ext>
          </c:extLst>
        </c:ser>
        <c:ser>
          <c:idx val="10"/>
          <c:order val="10"/>
          <c:tx>
            <c:strRef>
              <c:f>'A1'!$CAA$34</c:f>
              <c:strCache>
                <c:ptCount val="1"/>
                <c:pt idx="0">
                  <c:v>CIberekening</c:v>
                </c:pt>
              </c:strCache>
            </c:strRef>
          </c:tx>
          <c:spPr>
            <a:solidFill>
              <a:srgbClr val="FF9966"/>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'A1'!$CAB$34:$CAC$34</c:f>
              <c:numCache>
                <c:formatCode>0</c:formatCode>
                <c:ptCount val="2"/>
                <c:pt idx="0">
                  <c:v>#N/A</c:v>
                </c:pt>
                <c:pt idx="1">
                  <c:v>4.9999999999999991</c:v>
                </c:pt>
              </c:numCache>
            </c:numRef>
          </c:val>
          <c:extLst>
            <c:ext xmlns:c16="http://schemas.microsoft.com/office/drawing/2014/chart" uri="{C3380CC4-5D6E-409C-BE32-E72D297353CC}">
              <c16:uniqueId val="{0000000A-60E6-4FDF-A9F4-21EDD208F363}"/>
            </c:ext>
          </c:extLst>
        </c:ser>
        <c:ser>
          <c:idx val="11"/>
          <c:order val="11"/>
          <c:tx>
            <c:strRef>
              <c:f>'A1'!$CAA$35</c:f>
              <c:strCache>
                <c:ptCount val="1"/>
                <c:pt idx="0">
                  <c:v>CO2berekening</c:v>
                </c:pt>
              </c:strCache>
            </c:strRef>
          </c:tx>
          <c:spPr>
            <a:solidFill>
              <a:srgbClr val="C00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'A1'!$CAB$35:$CAC$35</c:f>
              <c:numCache>
                <c:formatCode>0</c:formatCode>
                <c:ptCount val="2"/>
                <c:pt idx="0">
                  <c:v>#N/A</c:v>
                </c:pt>
                <c:pt idx="1">
                  <c:v>10</c:v>
                </c:pt>
              </c:numCache>
            </c:numRef>
          </c:val>
          <c:extLst>
            <c:ext xmlns:c16="http://schemas.microsoft.com/office/drawing/2014/chart" uri="{C3380CC4-5D6E-409C-BE32-E72D297353CC}">
              <c16:uniqueId val="{0000000B-60E6-4FDF-A9F4-21EDD208F363}"/>
            </c:ext>
          </c:extLst>
        </c:ser>
        <c:ser>
          <c:idx val="12"/>
          <c:order val="12"/>
          <c:tx>
            <c:strRef>
              <c:f>'A1'!$CAA$36</c:f>
              <c:strCache>
                <c:ptCount val="1"/>
                <c:pt idx="0">
                  <c:v>bonus</c:v>
                </c:pt>
              </c:strCache>
            </c:strRef>
          </c:tx>
          <c:spPr>
            <a:pattFill prst="ltUpDiag">
              <a:fgClr>
                <a:schemeClr val="bg1">
                  <a:lumMod val="85000"/>
                </a:schemeClr>
              </a:fgClr>
              <a:bgClr>
                <a:schemeClr val="bg1"/>
              </a:bgClr>
            </a:patt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'A1'!$CAB$36:$CAC$36</c:f>
              <c:numCache>
                <c:formatCode>General</c:formatCode>
                <c:ptCount val="2"/>
                <c:pt idx="0" formatCode="0.0">
                  <c:v>0</c:v>
                </c:pt>
              </c:numCache>
            </c:numRef>
          </c:val>
          <c:extLst>
            <c:ext xmlns:c16="http://schemas.microsoft.com/office/drawing/2014/chart" uri="{C3380CC4-5D6E-409C-BE32-E72D297353CC}">
              <c16:uniqueId val="{0000000F-60E6-4FDF-A9F4-21EDD208F363}"/>
            </c:ext>
          </c:extLst>
        </c:ser>
        <c:ser>
          <c:idx val="13"/>
          <c:order val="13"/>
          <c:tx>
            <c:strRef>
              <c:f>'A1'!$CAA$37</c:f>
              <c:strCache>
                <c:ptCount val="1"/>
                <c:pt idx="0">
                  <c:v>rest</c:v>
                </c:pt>
              </c:strCache>
            </c:strRef>
          </c:tx>
          <c:spPr>
            <a:blipFill>
              <a:blip xmlns:r="http://schemas.openxmlformats.org/officeDocument/2006/relationships" r:embed="rId3"/>
              <a:stretch>
                <a:fillRect/>
              </a:stretch>
            </a:blipFill>
            <a:ln>
              <a:noFill/>
            </a:ln>
            <a:effectLst/>
          </c:spPr>
          <c:invertIfNegative val="0"/>
          <c:dPt>
            <c:idx val="0"/>
            <c:invertIfNegative val="0"/>
            <c:bubble3D val="0"/>
            <c:spPr>
              <a:blipFill>
                <a:blip xmlns:r="http://schemas.openxmlformats.org/officeDocument/2006/relationships" r:embed="rId3"/>
                <a:stretch>
                  <a:fillRect/>
                </a:stretch>
              </a:blipFill>
              <a:ln>
                <a:noFill/>
              </a:ln>
              <a:effectLst/>
            </c:spPr>
            <c:extLst>
              <c:ext xmlns:c16="http://schemas.microsoft.com/office/drawing/2014/chart" uri="{C3380CC4-5D6E-409C-BE32-E72D297353CC}">
                <c16:uniqueId val="{00000001-6CC8-4495-9A0D-E5D08FE6838D}"/>
              </c:ext>
            </c:extLst>
          </c:dPt>
          <c:dLbls>
            <c:dLbl>
              <c:idx val="1"/>
              <c:delete val="1"/>
              <c:extLst>
                <c:ext xmlns:c15="http://schemas.microsoft.com/office/drawing/2012/chart" uri="{CE6537A1-D6FC-4f65-9D91-7224C49458BB}"/>
                <c:ext xmlns:c16="http://schemas.microsoft.com/office/drawing/2014/chart" uri="{C3380CC4-5D6E-409C-BE32-E72D297353CC}">
                  <c16:uniqueId val="{00000002-6CC8-4495-9A0D-E5D08FE6838D}"/>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8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'A1'!$CAB$23:$CAC$23</c:f>
              <c:strCache>
                <c:ptCount val="2"/>
                <c:pt idx="0">
                  <c:v>A1</c:v>
                </c:pt>
                <c:pt idx="1">
                  <c:v>max score</c:v>
                </c:pt>
              </c:strCache>
            </c:strRef>
          </c:cat>
          <c:val>
            <c:numRef>
              <c:f>'A1'!$CAB$37:$CAC$37</c:f>
              <c:numCache>
                <c:formatCode>0</c:formatCode>
                <c:ptCount val="2"/>
                <c:pt idx="0">
                  <c:v>#N/A</c:v>
                </c:pt>
                <c:pt idx="1">
                  <c:v>0</c:v>
                </c:pt>
              </c:numCache>
            </c:numRef>
          </c:val>
          <c:extLst>
            <c:ext xmlns:c16="http://schemas.microsoft.com/office/drawing/2014/chart" uri="{C3380CC4-5D6E-409C-BE32-E72D297353CC}">
              <c16:uniqueId val="{00000003-A4D0-4087-AC11-3D3827801C94}"/>
            </c:ext>
          </c:extLst>
        </c:ser>
        <c:dLbls>
          <c:showLegendKey val="0"/>
          <c:showVal val="0"/>
          <c:showCatName val="0"/>
          <c:showSerName val="0"/>
          <c:showPercent val="0"/>
          <c:showBubbleSize val="0"/>
        </c:dLbls>
        <c:gapWidth val="100"/>
        <c:overlap val="100"/>
        <c:serLines>
          <c:spPr>
            <a:ln w="9525" cap="flat" cmpd="sng" algn="ctr">
              <a:solidFill>
                <a:schemeClr val="tx1">
                  <a:lumMod val="35000"/>
                  <a:lumOff val="65000"/>
                </a:schemeClr>
              </a:solidFill>
              <a:round/>
            </a:ln>
            <a:effectLst/>
          </c:spPr>
        </c:serLines>
        <c:axId val="689123072"/>
        <c:axId val="689115856"/>
      </c:barChart>
      <c:catAx>
        <c:axId val="689123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crossAx val="689115856"/>
        <c:crosses val="autoZero"/>
        <c:auto val="1"/>
        <c:lblAlgn val="ctr"/>
        <c:lblOffset val="100"/>
        <c:noMultiLvlLbl val="0"/>
      </c:catAx>
      <c:valAx>
        <c:axId val="689115856"/>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nl-NL" sz="1600" baseline="0"/>
                  <a:t> Circulair Peil Index   CPI  [-]</a:t>
                </a:r>
                <a:endParaRPr lang="nl-NL"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title>
        <c:numFmt formatCode="0" sourceLinked="1"/>
        <c:majorTickMark val="out"/>
        <c:minorTickMark val="none"/>
        <c:tickLblPos val="nextTo"/>
        <c:spPr>
          <a:noFill/>
          <a:ln>
            <a:solidFill>
              <a:schemeClr val="bg1"/>
            </a:solid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8912307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r>
              <a:rPr lang="nl-NL" sz="1600" b="1"/>
              <a:t>Procesmonitor Circulaire Peiler</a:t>
            </a:r>
          </a:p>
          <a:p>
            <a:pPr algn="l">
              <a:defRPr sz="1600" b="1"/>
            </a:pPr>
            <a:r>
              <a:rPr lang="nl-NL" sz="1600" b="1"/>
              <a:t>CPI :</a:t>
            </a:r>
            <a:r>
              <a:rPr lang="nl-NL" sz="1600" b="1" baseline="0"/>
              <a:t> D</a:t>
            </a:r>
            <a:r>
              <a:rPr lang="nl-NL" sz="1600" b="1"/>
              <a:t>e 8 circulaire ontwerpprincipes</a:t>
            </a:r>
          </a:p>
        </c:rich>
      </c:tx>
      <c:layout>
        <c:manualLayout>
          <c:xMode val="edge"/>
          <c:yMode val="edge"/>
          <c:x val="0.18955827682422982"/>
          <c:y val="1.3285023071706547E-2"/>
        </c:manualLayout>
      </c:layout>
      <c:overlay val="0"/>
      <c:spPr>
        <a:noFill/>
        <a:ln>
          <a:noFill/>
        </a:ln>
        <a:effectLst/>
      </c:spPr>
      <c:txPr>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21125280475587238"/>
          <c:y val="0.14728383294882977"/>
          <c:w val="0.28643798074136634"/>
          <c:h val="0.78337073762213927"/>
        </c:manualLayout>
      </c:layout>
      <c:barChart>
        <c:barDir val="col"/>
        <c:grouping val="stacked"/>
        <c:varyColors val="0"/>
        <c:ser>
          <c:idx val="0"/>
          <c:order val="0"/>
          <c:tx>
            <c:strRef>
              <c:f>'invoer Basis'!$BZI$54</c:f>
              <c:strCache>
                <c:ptCount val="1"/>
                <c:pt idx="0">
                  <c:v>Voorkómen: niet doen wat echt niet hoeft</c:v>
                </c:pt>
              </c:strCache>
            </c:strRef>
          </c:tx>
          <c:spPr>
            <a:solidFill>
              <a:schemeClr val="accent1"/>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Basis'!$BZJ$54</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0-C6D9-4225-A746-97DE696D448C}"/>
            </c:ext>
          </c:extLst>
        </c:ser>
        <c:ser>
          <c:idx val="1"/>
          <c:order val="1"/>
          <c:tx>
            <c:strRef>
              <c:f>'invoer Basis'!$BZI$55</c:f>
              <c:strCache>
                <c:ptCount val="1"/>
                <c:pt idx="0">
                  <c:v>Verleng de levensduur van bestaande objecten of componenten</c:v>
                </c:pt>
              </c:strCache>
            </c:strRef>
          </c:tx>
          <c:spPr>
            <a:solidFill>
              <a:schemeClr val="accent2"/>
            </a:solidFill>
            <a:ln w="19050">
              <a:solidFill>
                <a:schemeClr val="lt1"/>
              </a:solidFill>
            </a:ln>
            <a:effectLst/>
          </c:spPr>
          <c:invertIfNegative val="0"/>
          <c:val>
            <c:numRef>
              <c:f>'invoer Basis'!$BZJ$55</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1-C6D9-4225-A746-97DE696D448C}"/>
            </c:ext>
          </c:extLst>
        </c:ser>
        <c:ser>
          <c:idx val="2"/>
          <c:order val="2"/>
          <c:tx>
            <c:strRef>
              <c:f>'invoer Basis'!$BZI$56</c:f>
              <c:strCache>
                <c:ptCount val="1"/>
                <c:pt idx="0">
                  <c:v>Duurzaam gebruik van bestaande objecten, materialen, grondstoffen en natuurlijke processen</c:v>
                </c:pt>
              </c:strCache>
            </c:strRef>
          </c:tx>
          <c:spPr>
            <a:solidFill>
              <a:schemeClr val="accent3"/>
            </a:solidFill>
            <a:ln w="19050">
              <a:solidFill>
                <a:schemeClr val="lt1"/>
              </a:solidFill>
            </a:ln>
            <a:effectLst/>
          </c:spPr>
          <c:invertIfNegative val="0"/>
          <c:val>
            <c:numRef>
              <c:f>'invoer Basis'!$BZJ$56</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2-C6D9-4225-A746-97DE696D448C}"/>
            </c:ext>
          </c:extLst>
        </c:ser>
        <c:ser>
          <c:idx val="3"/>
          <c:order val="3"/>
          <c:tx>
            <c:strRef>
              <c:f>'invoer Basis'!$BZI$57</c:f>
              <c:strCache>
                <c:ptCount val="1"/>
                <c:pt idx="0">
                  <c:v>Ontwerp voor meerdere levenscycli</c:v>
                </c:pt>
              </c:strCache>
            </c:strRef>
          </c:tx>
          <c:spPr>
            <a:solidFill>
              <a:schemeClr val="accent4"/>
            </a:solidFill>
            <a:ln w="19050">
              <a:solidFill>
                <a:schemeClr val="lt1"/>
              </a:solidFill>
            </a:ln>
            <a:effectLst/>
          </c:spPr>
          <c:invertIfNegative val="0"/>
          <c:val>
            <c:numRef>
              <c:f>'invoer Basis'!$BZJ$57</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3-C6D9-4225-A746-97DE696D448C}"/>
            </c:ext>
          </c:extLst>
        </c:ser>
        <c:ser>
          <c:idx val="4"/>
          <c:order val="4"/>
          <c:tx>
            <c:strRef>
              <c:f>'invoer Basis'!$BZI$58</c:f>
              <c:strCache>
                <c:ptCount val="1"/>
                <c:pt idx="0">
                  <c:v>Ontwerp toekomstbestendig</c:v>
                </c:pt>
              </c:strCache>
            </c:strRef>
          </c:tx>
          <c:spPr>
            <a:solidFill>
              <a:schemeClr val="accent5"/>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Basis'!$BZJ$58</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4-C6D9-4225-A746-97DE696D448C}"/>
            </c:ext>
          </c:extLst>
        </c:ser>
        <c:ser>
          <c:idx val="5"/>
          <c:order val="5"/>
          <c:tx>
            <c:strRef>
              <c:f>'invoer Basis'!$BZI$59</c:f>
              <c:strCache>
                <c:ptCount val="1"/>
                <c:pt idx="0">
                  <c:v>Ontwerp voor optimaal beheer en onderhoud </c:v>
                </c:pt>
              </c:strCache>
            </c:strRef>
          </c:tx>
          <c:spPr>
            <a:solidFill>
              <a:schemeClr val="accent6"/>
            </a:solidFill>
            <a:ln w="19050">
              <a:solidFill>
                <a:schemeClr val="lt1"/>
              </a:solidFill>
            </a:ln>
            <a:effectLst/>
          </c:spPr>
          <c:invertIfNegative val="0"/>
          <c:val>
            <c:numRef>
              <c:f>'invoer Basis'!$BZJ$59</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5-C6D9-4225-A746-97DE696D448C}"/>
            </c:ext>
          </c:extLst>
        </c:ser>
        <c:ser>
          <c:idx val="6"/>
          <c:order val="6"/>
          <c:tx>
            <c:strRef>
              <c:f>'invoer Basis'!$BZI$60</c:f>
              <c:strCache>
                <c:ptCount val="1"/>
                <c:pt idx="0">
                  <c:v>Duurzaam materiaalgebruik (hoeveel x milieubelasting)</c:v>
                </c:pt>
              </c:strCache>
            </c:strRef>
          </c:tx>
          <c:spPr>
            <a:solidFill>
              <a:schemeClr val="accent1">
                <a:lumMod val="60000"/>
              </a:schemeClr>
            </a:solidFill>
            <a:ln w="19050">
              <a:solidFill>
                <a:schemeClr val="lt1"/>
              </a:solidFill>
            </a:ln>
            <a:effectLst/>
          </c:spPr>
          <c:invertIfNegative val="0"/>
          <c:val>
            <c:numRef>
              <c:f>'invoer Basis'!$BZJ$60</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6-C6D9-4225-A746-97DE696D448C}"/>
            </c:ext>
          </c:extLst>
        </c:ser>
        <c:ser>
          <c:idx val="7"/>
          <c:order val="7"/>
          <c:tx>
            <c:strRef>
              <c:f>'invoer Basis'!$BZI$61</c:f>
              <c:strCache>
                <c:ptCount val="1"/>
                <c:pt idx="0">
                  <c:v>Ontwerp voor minimaal grondstof- en energiegebruik in de aanleg/gebruiksfase</c:v>
                </c:pt>
              </c:strCache>
            </c:strRef>
          </c:tx>
          <c:spPr>
            <a:solidFill>
              <a:schemeClr val="accent2">
                <a:lumMod val="60000"/>
              </a:schemeClr>
            </a:solidFill>
            <a:ln w="19050">
              <a:solidFill>
                <a:schemeClr val="lt1"/>
              </a:solidFill>
            </a:ln>
            <a:effectLst/>
          </c:spPr>
          <c:invertIfNegative val="0"/>
          <c:val>
            <c:numRef>
              <c:f>'invoer Basis'!$BZJ$61</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7-C6D9-4225-A746-97DE696D448C}"/>
            </c:ext>
          </c:extLst>
        </c:ser>
        <c:ser>
          <c:idx val="8"/>
          <c:order val="8"/>
          <c:tx>
            <c:strRef>
              <c:f>'invoer Basis'!$BZI$62</c:f>
              <c:strCache>
                <c:ptCount val="1"/>
                <c:pt idx="0">
                  <c:v>Rest</c:v>
                </c:pt>
              </c:strCache>
            </c:strRef>
          </c:tx>
          <c:spPr>
            <a:solidFill>
              <a:schemeClr val="accent3">
                <a:lumMod val="60000"/>
              </a:schemeClr>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Basis'!$BZJ$62</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8-C6D9-4225-A746-97DE696D448C}"/>
            </c:ext>
          </c:extLst>
        </c:ser>
        <c:dLbls>
          <c:showLegendKey val="0"/>
          <c:showVal val="0"/>
          <c:showCatName val="0"/>
          <c:showSerName val="0"/>
          <c:showPercent val="0"/>
          <c:showBubbleSize val="0"/>
        </c:dLbls>
        <c:gapWidth val="100"/>
        <c:overlap val="100"/>
        <c:axId val="620690952"/>
        <c:axId val="620694560"/>
      </c:barChart>
      <c:catAx>
        <c:axId val="6206909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crossAx val="620694560"/>
        <c:crosses val="autoZero"/>
        <c:auto val="1"/>
        <c:lblAlgn val="ctr"/>
        <c:lblOffset val="100"/>
        <c:noMultiLvlLbl val="0"/>
      </c:catAx>
      <c:valAx>
        <c:axId val="620694560"/>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r>
                  <a:rPr lang="nl-NL" sz="2400"/>
                  <a:t>Circulair Peil Index (CPI)  (max 100)</a:t>
                </a:r>
              </a:p>
            </c:rich>
          </c:tx>
          <c:overlay val="0"/>
          <c:spPr>
            <a:noFill/>
            <a:ln>
              <a:noFill/>
            </a:ln>
            <a:effectLst/>
          </c:spPr>
          <c:txPr>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endParaRPr lang="nl-NL"/>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20690952"/>
        <c:crosses val="autoZero"/>
        <c:crossBetween val="between"/>
        <c:majorUnit val="20"/>
      </c:valAx>
      <c:spPr>
        <a:gradFill>
          <a:gsLst>
            <a:gs pos="30000">
              <a:srgbClr val="FFFF00">
                <a:alpha val="50196"/>
              </a:srgbClr>
            </a:gs>
            <a:gs pos="20000">
              <a:srgbClr val="92D050">
                <a:alpha val="50196"/>
              </a:srgbClr>
            </a:gs>
            <a:gs pos="10000">
              <a:srgbClr val="00B050">
                <a:alpha val="50196"/>
              </a:srgbClr>
            </a:gs>
            <a:gs pos="40000">
              <a:srgbClr val="FFC000">
                <a:alpha val="50000"/>
              </a:srgbClr>
            </a:gs>
            <a:gs pos="5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nl-NL" sz="1800"/>
              <a:t>Referentiemonitor verbetering (reductie) Milieukosten / Circulariteit / CO2</a:t>
            </a:r>
          </a:p>
        </c:rich>
      </c:tx>
      <c:layout>
        <c:manualLayout>
          <c:xMode val="edge"/>
          <c:yMode val="edge"/>
          <c:x val="0.23003133202099738"/>
          <c:y val="2.7777880267646139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spPr>
            <a:solidFill>
              <a:schemeClr val="accent1"/>
            </a:solidFill>
            <a:ln>
              <a:solidFill>
                <a:srgbClr val="FFFFFF"/>
              </a:solidFill>
            </a:ln>
            <a:effectLst/>
          </c:spPr>
          <c:invertIfNegative val="0"/>
          <c:dPt>
            <c:idx val="0"/>
            <c:invertIfNegative val="0"/>
            <c:bubble3D val="0"/>
            <c:spPr>
              <a:solidFill>
                <a:srgbClr val="92D050"/>
              </a:solidFill>
              <a:ln>
                <a:solidFill>
                  <a:srgbClr val="FFFFFF"/>
                </a:solidFill>
              </a:ln>
              <a:effectLst/>
            </c:spPr>
            <c:extLst>
              <c:ext xmlns:c16="http://schemas.microsoft.com/office/drawing/2014/chart" uri="{C3380CC4-5D6E-409C-BE32-E72D297353CC}">
                <c16:uniqueId val="{00000001-A827-4B58-AF1B-0E3EA082E1BF}"/>
              </c:ext>
            </c:extLst>
          </c:dPt>
          <c:dPt>
            <c:idx val="1"/>
            <c:invertIfNegative val="0"/>
            <c:bubble3D val="0"/>
            <c:spPr>
              <a:solidFill>
                <a:srgbClr val="00B0F0"/>
              </a:solidFill>
              <a:ln>
                <a:solidFill>
                  <a:srgbClr val="FFFFFF"/>
                </a:solidFill>
              </a:ln>
              <a:effectLst/>
            </c:spPr>
            <c:extLst>
              <c:ext xmlns:c16="http://schemas.microsoft.com/office/drawing/2014/chart" uri="{C3380CC4-5D6E-409C-BE32-E72D297353CC}">
                <c16:uniqueId val="{00000003-A827-4B58-AF1B-0E3EA082E1BF}"/>
              </c:ext>
            </c:extLst>
          </c:dPt>
          <c:dPt>
            <c:idx val="2"/>
            <c:invertIfNegative val="0"/>
            <c:bubble3D val="0"/>
            <c:spPr>
              <a:solidFill>
                <a:srgbClr val="FF0000"/>
              </a:solidFill>
              <a:ln>
                <a:solidFill>
                  <a:srgbClr val="FFFFFF"/>
                </a:solidFill>
              </a:ln>
              <a:effectLst/>
            </c:spPr>
            <c:extLst>
              <c:ext xmlns:c16="http://schemas.microsoft.com/office/drawing/2014/chart" uri="{C3380CC4-5D6E-409C-BE32-E72D297353CC}">
                <c16:uniqueId val="{00000005-A827-4B58-AF1B-0E3EA082E1BF}"/>
              </c:ext>
            </c:extLst>
          </c:dPt>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('A1'!$AN$67,'A1'!$AN$71,'A1'!$AN$75)</c:f>
              <c:strCache>
                <c:ptCount val="3"/>
                <c:pt idx="0">
                  <c:v>MKI reductie t.o.v. referentie € </c:v>
                </c:pt>
                <c:pt idx="1">
                  <c:v>MCI reductie t.o.v. referentie  [-]</c:v>
                </c:pt>
                <c:pt idx="2">
                  <c:v>CO2 reductie t.o.v. referentie  tonCO2</c:v>
                </c:pt>
              </c:strCache>
            </c:strRef>
          </c:cat>
          <c:val>
            <c:numRef>
              <c:f>('A1'!$AP$67,'A1'!$AP$71,'A1'!$AP$75)</c:f>
              <c:numCache>
                <c:formatCode>0%</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6-A827-4B58-AF1B-0E3EA082E1BF}"/>
            </c:ext>
          </c:extLst>
        </c:ser>
        <c:ser>
          <c:idx val="1"/>
          <c:order val="1"/>
          <c:spPr>
            <a:solidFill>
              <a:srgbClr val="FFFFFF">
                <a:alpha val="30196"/>
              </a:srgbClr>
            </a:solidFill>
            <a:ln>
              <a:solidFill>
                <a:srgbClr val="FFFFFF">
                  <a:alpha val="0"/>
                </a:srgbClr>
              </a:solidFill>
            </a:ln>
            <a:effectLst/>
          </c:spPr>
          <c:invertIfNegative val="0"/>
          <c:cat>
            <c:strRef>
              <c:f>('invoer Basis'!$AN$67,'invoer Basis'!$AN$71,'invoer Basis'!$AN$75)</c:f>
              <c:strCache>
                <c:ptCount val="3"/>
                <c:pt idx="0">
                  <c:v>MKI reductie t.o.v. referentie € </c:v>
                </c:pt>
                <c:pt idx="1">
                  <c:v>MCI reductie t.o.v. referentie  [-]</c:v>
                </c:pt>
                <c:pt idx="2">
                  <c:v>CO2 reductie t.o.v. referentie  tonCO2</c:v>
                </c:pt>
              </c:strCache>
            </c:strRef>
          </c:cat>
          <c:val>
            <c:numRef>
              <c:f>('invoer Basis'!$AO$67,'invoer Basis'!$AO$71,'invoer Basis'!$AO$75)</c:f>
            </c:numRef>
          </c:val>
          <c:extLst xmlns:c15="http://schemas.microsoft.com/office/drawing/2012/chart">
            <c:ext xmlns:c16="http://schemas.microsoft.com/office/drawing/2014/chart" uri="{C3380CC4-5D6E-409C-BE32-E72D297353CC}">
              <c16:uniqueId val="{00000007-A827-4B58-AF1B-0E3EA082E1BF}"/>
            </c:ext>
          </c:extLst>
        </c:ser>
        <c:dLbls>
          <c:showLegendKey val="0"/>
          <c:showVal val="0"/>
          <c:showCatName val="0"/>
          <c:showSerName val="0"/>
          <c:showPercent val="0"/>
          <c:showBubbleSize val="0"/>
        </c:dLbls>
        <c:gapWidth val="50"/>
        <c:overlap val="10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nl-NL" sz="1600" baseline="0"/>
                  <a:t> Reductie MKI / Circulariteit / CO2 [%]</a:t>
                </a:r>
                <a:endParaRPr lang="nl-NL"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gradFill>
          <a:gsLst>
            <a:gs pos="60000">
              <a:srgbClr val="FFFF00">
                <a:alpha val="50196"/>
              </a:srgbClr>
            </a:gs>
            <a:gs pos="29000">
              <a:srgbClr val="92D050">
                <a:alpha val="50196"/>
              </a:srgbClr>
            </a:gs>
            <a:gs pos="10000">
              <a:srgbClr val="00B050">
                <a:alpha val="50196"/>
              </a:srgbClr>
            </a:gs>
            <a:gs pos="70000">
              <a:srgbClr val="FFC000">
                <a:alpha val="50000"/>
              </a:srgbClr>
            </a:gs>
            <a:gs pos="8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r>
              <a:rPr lang="nl-NL" sz="1800" b="1"/>
              <a:t>Procesmonitor Circulaire Peiler (in detail)</a:t>
            </a:r>
          </a:p>
        </c:rich>
      </c:tx>
      <c:overlay val="0"/>
      <c:spPr>
        <a:noFill/>
        <a:ln>
          <a:noFill/>
        </a:ln>
        <a:effectLst/>
      </c:spPr>
      <c:txPr>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tx>
            <c:strRef>
              <c:f>'B1'!$CAA$24</c:f>
              <c:strCache>
                <c:ptCount val="1"/>
                <c:pt idx="0">
                  <c:v>verklein opgave</c:v>
                </c:pt>
              </c:strCache>
            </c:strRef>
          </c:tx>
          <c:spPr>
            <a:solidFill>
              <a:schemeClr val="tx2">
                <a:lumMod val="75000"/>
              </a:schemeClr>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'B1'!$CAB$24:$CAC$24</c:f>
              <c:numCache>
                <c:formatCode>0</c:formatCode>
                <c:ptCount val="2"/>
                <c:pt idx="0">
                  <c:v>#N/A</c:v>
                </c:pt>
                <c:pt idx="1">
                  <c:v>27</c:v>
                </c:pt>
              </c:numCache>
            </c:numRef>
          </c:val>
          <c:extLst>
            <c:ext xmlns:c16="http://schemas.microsoft.com/office/drawing/2014/chart" uri="{C3380CC4-5D6E-409C-BE32-E72D297353CC}">
              <c16:uniqueId val="{00000000-A767-434D-8FC6-E2E9B0AC1E4E}"/>
            </c:ext>
          </c:extLst>
        </c:ser>
        <c:ser>
          <c:idx val="1"/>
          <c:order val="1"/>
          <c:tx>
            <c:strRef>
              <c:f>'B1'!$CAA$25</c:f>
              <c:strCache>
                <c:ptCount val="1"/>
                <c:pt idx="0">
                  <c:v>levensduurverlenging</c:v>
                </c:pt>
              </c:strCache>
            </c:strRef>
          </c:tx>
          <c:spPr>
            <a:solidFill>
              <a:srgbClr val="FF0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'B1'!$CAB$25:$CAC$25</c:f>
              <c:numCache>
                <c:formatCode>0</c:formatCode>
                <c:ptCount val="2"/>
                <c:pt idx="0">
                  <c:v>#N/A</c:v>
                </c:pt>
                <c:pt idx="1">
                  <c:v>7.0000000000000009</c:v>
                </c:pt>
              </c:numCache>
            </c:numRef>
          </c:val>
          <c:extLst>
            <c:ext xmlns:c16="http://schemas.microsoft.com/office/drawing/2014/chart" uri="{C3380CC4-5D6E-409C-BE32-E72D297353CC}">
              <c16:uniqueId val="{00000001-A767-434D-8FC6-E2E9B0AC1E4E}"/>
            </c:ext>
          </c:extLst>
        </c:ser>
        <c:ser>
          <c:idx val="2"/>
          <c:order val="2"/>
          <c:tx>
            <c:strRef>
              <c:f>'B1'!$CAA$26</c:f>
              <c:strCache>
                <c:ptCount val="1"/>
                <c:pt idx="0">
                  <c:v>hergebruik</c:v>
                </c:pt>
              </c:strCache>
            </c:strRef>
          </c:tx>
          <c:spPr>
            <a:solidFill>
              <a:srgbClr val="00B05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'B1'!$CAB$26:$CAC$26</c:f>
              <c:numCache>
                <c:formatCode>0</c:formatCode>
                <c:ptCount val="2"/>
                <c:pt idx="0">
                  <c:v>#N/A</c:v>
                </c:pt>
                <c:pt idx="1">
                  <c:v>2.8000000000000003</c:v>
                </c:pt>
              </c:numCache>
            </c:numRef>
          </c:val>
          <c:extLst>
            <c:ext xmlns:c16="http://schemas.microsoft.com/office/drawing/2014/chart" uri="{C3380CC4-5D6E-409C-BE32-E72D297353CC}">
              <c16:uniqueId val="{00000002-A767-434D-8FC6-E2E9B0AC1E4E}"/>
            </c:ext>
          </c:extLst>
        </c:ser>
        <c:ser>
          <c:idx val="3"/>
          <c:order val="3"/>
          <c:tx>
            <c:strRef>
              <c:f>'B1'!$CAA$27</c:f>
              <c:strCache>
                <c:ptCount val="1"/>
                <c:pt idx="0">
                  <c:v>materialendatabank</c:v>
                </c:pt>
              </c:strCache>
            </c:strRef>
          </c:tx>
          <c:spPr>
            <a:solidFill>
              <a:srgbClr val="00FF99"/>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'B1'!$CAB$27:$CAC$27</c:f>
              <c:numCache>
                <c:formatCode>0</c:formatCode>
                <c:ptCount val="2"/>
                <c:pt idx="0">
                  <c:v>#N/A</c:v>
                </c:pt>
                <c:pt idx="1">
                  <c:v>2.8000000000000003</c:v>
                </c:pt>
              </c:numCache>
            </c:numRef>
          </c:val>
          <c:extLst>
            <c:ext xmlns:c16="http://schemas.microsoft.com/office/drawing/2014/chart" uri="{C3380CC4-5D6E-409C-BE32-E72D297353CC}">
              <c16:uniqueId val="{00000003-A767-434D-8FC6-E2E9B0AC1E4E}"/>
            </c:ext>
          </c:extLst>
        </c:ser>
        <c:ser>
          <c:idx val="4"/>
          <c:order val="4"/>
          <c:tx>
            <c:strRef>
              <c:f>'B1'!$CAA$28</c:f>
              <c:strCache>
                <c:ptCount val="1"/>
                <c:pt idx="0">
                  <c:v>natuurlijk proces</c:v>
                </c:pt>
              </c:strCache>
            </c:strRef>
          </c:tx>
          <c:spPr>
            <a:solidFill>
              <a:srgbClr val="CCFFCC"/>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'B1'!$CAB$28:$CAC$28</c:f>
              <c:numCache>
                <c:formatCode>0</c:formatCode>
                <c:ptCount val="2"/>
                <c:pt idx="0">
                  <c:v>#N/A</c:v>
                </c:pt>
                <c:pt idx="1">
                  <c:v>1.4000000000000001</c:v>
                </c:pt>
              </c:numCache>
            </c:numRef>
          </c:val>
          <c:extLst>
            <c:ext xmlns:c16="http://schemas.microsoft.com/office/drawing/2014/chart" uri="{C3380CC4-5D6E-409C-BE32-E72D297353CC}">
              <c16:uniqueId val="{00000004-A767-434D-8FC6-E2E9B0AC1E4E}"/>
            </c:ext>
          </c:extLst>
        </c:ser>
        <c:ser>
          <c:idx val="5"/>
          <c:order val="5"/>
          <c:tx>
            <c:strRef>
              <c:f>'B1'!$CAA$29</c:f>
              <c:strCache>
                <c:ptCount val="1"/>
                <c:pt idx="0">
                  <c:v>herbruikb.na afdank</c:v>
                </c:pt>
              </c:strCache>
            </c:strRef>
          </c:tx>
          <c:spPr>
            <a:solidFill>
              <a:srgbClr val="FFC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'B1'!$CAB$29:$CAC$29</c:f>
              <c:numCache>
                <c:formatCode>0</c:formatCode>
                <c:ptCount val="2"/>
                <c:pt idx="0">
                  <c:v>#N/A</c:v>
                </c:pt>
                <c:pt idx="1">
                  <c:v>6.3000000000000007</c:v>
                </c:pt>
              </c:numCache>
            </c:numRef>
          </c:val>
          <c:extLst>
            <c:ext xmlns:c16="http://schemas.microsoft.com/office/drawing/2014/chart" uri="{C3380CC4-5D6E-409C-BE32-E72D297353CC}">
              <c16:uniqueId val="{00000005-A767-434D-8FC6-E2E9B0AC1E4E}"/>
            </c:ext>
          </c:extLst>
        </c:ser>
        <c:ser>
          <c:idx val="6"/>
          <c:order val="6"/>
          <c:tx>
            <c:strRef>
              <c:f>'B1'!$CAA$30</c:f>
              <c:strCache>
                <c:ptCount val="1"/>
                <c:pt idx="0">
                  <c:v>materialenpaspoort</c:v>
                </c:pt>
              </c:strCache>
            </c:strRef>
          </c:tx>
          <c:spPr>
            <a:solidFill>
              <a:srgbClr val="FFFF66"/>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'B1'!$CAB$30:$CAC$30</c:f>
              <c:numCache>
                <c:formatCode>0</c:formatCode>
                <c:ptCount val="2"/>
                <c:pt idx="0">
                  <c:v>#N/A</c:v>
                </c:pt>
                <c:pt idx="1">
                  <c:v>0.70000000000000007</c:v>
                </c:pt>
              </c:numCache>
            </c:numRef>
          </c:val>
          <c:extLst>
            <c:ext xmlns:c16="http://schemas.microsoft.com/office/drawing/2014/chart" uri="{C3380CC4-5D6E-409C-BE32-E72D297353CC}">
              <c16:uniqueId val="{00000006-A767-434D-8FC6-E2E9B0AC1E4E}"/>
            </c:ext>
          </c:extLst>
        </c:ser>
        <c:ser>
          <c:idx val="7"/>
          <c:order val="7"/>
          <c:tx>
            <c:strRef>
              <c:f>'B1'!$CAA$31</c:f>
              <c:strCache>
                <c:ptCount val="1"/>
                <c:pt idx="0">
                  <c:v>toekomstgericht</c:v>
                </c:pt>
              </c:strCache>
            </c:strRef>
          </c:tx>
          <c:spPr>
            <a:solidFill>
              <a:srgbClr val="00206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'B1'!$CAB$31:$CAC$31</c:f>
              <c:numCache>
                <c:formatCode>0</c:formatCode>
                <c:ptCount val="2"/>
                <c:pt idx="0">
                  <c:v>#N/A</c:v>
                </c:pt>
                <c:pt idx="1">
                  <c:v>10</c:v>
                </c:pt>
              </c:numCache>
            </c:numRef>
          </c:val>
          <c:extLst>
            <c:ext xmlns:c16="http://schemas.microsoft.com/office/drawing/2014/chart" uri="{C3380CC4-5D6E-409C-BE32-E72D297353CC}">
              <c16:uniqueId val="{00000007-A767-434D-8FC6-E2E9B0AC1E4E}"/>
            </c:ext>
          </c:extLst>
        </c:ser>
        <c:ser>
          <c:idx val="8"/>
          <c:order val="8"/>
          <c:tx>
            <c:strRef>
              <c:f>'B1'!$CAA$32</c:f>
              <c:strCache>
                <c:ptCount val="1"/>
                <c:pt idx="0">
                  <c:v>beheer/onderhoud</c:v>
                </c:pt>
              </c:strCache>
            </c:strRef>
          </c:tx>
          <c:spPr>
            <a:solidFill>
              <a:srgbClr val="6666FF"/>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'B1'!$CAB$32:$CAC$32</c:f>
              <c:numCache>
                <c:formatCode>0</c:formatCode>
                <c:ptCount val="2"/>
                <c:pt idx="0">
                  <c:v>#N/A</c:v>
                </c:pt>
                <c:pt idx="1">
                  <c:v>7.0000000000000009</c:v>
                </c:pt>
              </c:numCache>
            </c:numRef>
          </c:val>
          <c:extLst>
            <c:ext xmlns:c16="http://schemas.microsoft.com/office/drawing/2014/chart" uri="{C3380CC4-5D6E-409C-BE32-E72D297353CC}">
              <c16:uniqueId val="{00000008-A767-434D-8FC6-E2E9B0AC1E4E}"/>
            </c:ext>
          </c:extLst>
        </c:ser>
        <c:ser>
          <c:idx val="9"/>
          <c:order val="9"/>
          <c:tx>
            <c:strRef>
              <c:f>'B1'!$CAA$33</c:f>
              <c:strCache>
                <c:ptCount val="1"/>
                <c:pt idx="0">
                  <c:v>MKIberekening</c:v>
                </c:pt>
              </c:strCache>
            </c:strRef>
          </c:tx>
          <c:spPr>
            <a:solidFill>
              <a:srgbClr val="FF6600">
                <a:alpha val="89804"/>
              </a:srgbClr>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0">
                <a:spAutoFit/>
              </a:bodyPr>
              <a:lstStyle/>
              <a:p>
                <a:pPr algn="ctr">
                  <a:defRPr lang="nl-NL"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'B1'!$CAB$33:$CAC$33</c:f>
              <c:numCache>
                <c:formatCode>0</c:formatCode>
                <c:ptCount val="2"/>
                <c:pt idx="0">
                  <c:v>#N/A</c:v>
                </c:pt>
                <c:pt idx="1">
                  <c:v>20</c:v>
                </c:pt>
              </c:numCache>
            </c:numRef>
          </c:val>
          <c:extLst>
            <c:ext xmlns:c16="http://schemas.microsoft.com/office/drawing/2014/chart" uri="{C3380CC4-5D6E-409C-BE32-E72D297353CC}">
              <c16:uniqueId val="{00000009-A767-434D-8FC6-E2E9B0AC1E4E}"/>
            </c:ext>
          </c:extLst>
        </c:ser>
        <c:ser>
          <c:idx val="10"/>
          <c:order val="10"/>
          <c:tx>
            <c:strRef>
              <c:f>'B1'!$CAA$34</c:f>
              <c:strCache>
                <c:ptCount val="1"/>
                <c:pt idx="0">
                  <c:v>CIberekening</c:v>
                </c:pt>
              </c:strCache>
            </c:strRef>
          </c:tx>
          <c:spPr>
            <a:solidFill>
              <a:srgbClr val="FF9966"/>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'B1'!$CAB$34:$CAC$34</c:f>
              <c:numCache>
                <c:formatCode>0</c:formatCode>
                <c:ptCount val="2"/>
                <c:pt idx="0">
                  <c:v>#N/A</c:v>
                </c:pt>
                <c:pt idx="1">
                  <c:v>4.9999999999999991</c:v>
                </c:pt>
              </c:numCache>
            </c:numRef>
          </c:val>
          <c:extLst>
            <c:ext xmlns:c16="http://schemas.microsoft.com/office/drawing/2014/chart" uri="{C3380CC4-5D6E-409C-BE32-E72D297353CC}">
              <c16:uniqueId val="{0000000A-A767-434D-8FC6-E2E9B0AC1E4E}"/>
            </c:ext>
          </c:extLst>
        </c:ser>
        <c:ser>
          <c:idx val="11"/>
          <c:order val="11"/>
          <c:tx>
            <c:strRef>
              <c:f>'B1'!$CAA$35</c:f>
              <c:strCache>
                <c:ptCount val="1"/>
                <c:pt idx="0">
                  <c:v>CO2berekening</c:v>
                </c:pt>
              </c:strCache>
            </c:strRef>
          </c:tx>
          <c:spPr>
            <a:solidFill>
              <a:srgbClr val="C00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'B1'!$CAB$35:$CAC$35</c:f>
              <c:numCache>
                <c:formatCode>0</c:formatCode>
                <c:ptCount val="2"/>
                <c:pt idx="0">
                  <c:v>#N/A</c:v>
                </c:pt>
                <c:pt idx="1">
                  <c:v>10</c:v>
                </c:pt>
              </c:numCache>
            </c:numRef>
          </c:val>
          <c:extLst>
            <c:ext xmlns:c16="http://schemas.microsoft.com/office/drawing/2014/chart" uri="{C3380CC4-5D6E-409C-BE32-E72D297353CC}">
              <c16:uniqueId val="{0000000B-A767-434D-8FC6-E2E9B0AC1E4E}"/>
            </c:ext>
          </c:extLst>
        </c:ser>
        <c:ser>
          <c:idx val="12"/>
          <c:order val="12"/>
          <c:tx>
            <c:strRef>
              <c:f>'B1'!$CAA$36</c:f>
              <c:strCache>
                <c:ptCount val="1"/>
                <c:pt idx="0">
                  <c:v>bonus</c:v>
                </c:pt>
              </c:strCache>
            </c:strRef>
          </c:tx>
          <c:spPr>
            <a:pattFill prst="ltUpDiag">
              <a:fgClr>
                <a:schemeClr val="bg1">
                  <a:lumMod val="85000"/>
                </a:schemeClr>
              </a:fgClr>
              <a:bgClr>
                <a:schemeClr val="bg1"/>
              </a:bgClr>
            </a:pattFill>
            <a:ln>
              <a:noFill/>
            </a:ln>
            <a:effectLst/>
          </c:spPr>
          <c:invertIfNegative val="0"/>
          <c:dLbls>
            <c:dLbl>
              <c:idx val="0"/>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A767-434D-8FC6-E2E9B0AC1E4E}"/>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'B1'!$CAB$36:$CAC$36</c:f>
              <c:numCache>
                <c:formatCode>General</c:formatCode>
                <c:ptCount val="2"/>
                <c:pt idx="0" formatCode="0.0">
                  <c:v>0</c:v>
                </c:pt>
              </c:numCache>
            </c:numRef>
          </c:val>
          <c:extLst>
            <c:ext xmlns:c16="http://schemas.microsoft.com/office/drawing/2014/chart" uri="{C3380CC4-5D6E-409C-BE32-E72D297353CC}">
              <c16:uniqueId val="{0000000F-A767-434D-8FC6-E2E9B0AC1E4E}"/>
            </c:ext>
          </c:extLst>
        </c:ser>
        <c:ser>
          <c:idx val="13"/>
          <c:order val="13"/>
          <c:tx>
            <c:strRef>
              <c:f>'B1'!$CAA$37</c:f>
              <c:strCache>
                <c:ptCount val="1"/>
                <c:pt idx="0">
                  <c:v>rest</c:v>
                </c:pt>
              </c:strCache>
            </c:strRef>
          </c:tx>
          <c:spPr>
            <a:blipFill>
              <a:blip xmlns:r="http://schemas.openxmlformats.org/officeDocument/2006/relationships" r:embed="rId3"/>
              <a:stretch>
                <a:fillRect/>
              </a:stretch>
            </a:blipFill>
            <a:ln>
              <a:noFill/>
            </a:ln>
            <a:effectLst/>
          </c:spPr>
          <c:invertIfNegative val="0"/>
          <c:dPt>
            <c:idx val="0"/>
            <c:invertIfNegative val="0"/>
            <c:bubble3D val="0"/>
            <c:spPr>
              <a:blipFill>
                <a:blip xmlns:r="http://schemas.openxmlformats.org/officeDocument/2006/relationships" r:embed="rId3"/>
                <a:stretch>
                  <a:fillRect/>
                </a:stretch>
              </a:blipFill>
              <a:ln>
                <a:noFill/>
              </a:ln>
              <a:effectLst/>
            </c:spPr>
            <c:extLst>
              <c:ext xmlns:c16="http://schemas.microsoft.com/office/drawing/2014/chart" uri="{C3380CC4-5D6E-409C-BE32-E72D297353CC}">
                <c16:uniqueId val="{00000001-C8E2-4D0B-AD3C-86B612C7BDDE}"/>
              </c:ext>
            </c:extLst>
          </c:dPt>
          <c:dLbls>
            <c:dLbl>
              <c:idx val="1"/>
              <c:delete val="1"/>
              <c:extLst>
                <c:ext xmlns:c15="http://schemas.microsoft.com/office/drawing/2012/chart" uri="{CE6537A1-D6FC-4f65-9D91-7224C49458BB}"/>
                <c:ext xmlns:c16="http://schemas.microsoft.com/office/drawing/2014/chart" uri="{C3380CC4-5D6E-409C-BE32-E72D297353CC}">
                  <c16:uniqueId val="{00000002-C8E2-4D0B-AD3C-86B612C7BDDE}"/>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8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'B1'!$CAB$23:$CAC$23</c:f>
              <c:strCache>
                <c:ptCount val="2"/>
                <c:pt idx="0">
                  <c:v>B1</c:v>
                </c:pt>
                <c:pt idx="1">
                  <c:v>max score</c:v>
                </c:pt>
              </c:strCache>
            </c:strRef>
          </c:cat>
          <c:val>
            <c:numRef>
              <c:f>'B1'!$CAB$37:$CAC$37</c:f>
              <c:numCache>
                <c:formatCode>0</c:formatCode>
                <c:ptCount val="2"/>
                <c:pt idx="0">
                  <c:v>#N/A</c:v>
                </c:pt>
                <c:pt idx="1">
                  <c:v>0</c:v>
                </c:pt>
              </c:numCache>
            </c:numRef>
          </c:val>
          <c:extLst>
            <c:ext xmlns:c16="http://schemas.microsoft.com/office/drawing/2014/chart" uri="{C3380CC4-5D6E-409C-BE32-E72D297353CC}">
              <c16:uniqueId val="{00000003-411B-4E6E-BBCB-7D9FA3D7B703}"/>
            </c:ext>
          </c:extLst>
        </c:ser>
        <c:dLbls>
          <c:showLegendKey val="0"/>
          <c:showVal val="0"/>
          <c:showCatName val="0"/>
          <c:showSerName val="0"/>
          <c:showPercent val="0"/>
          <c:showBubbleSize val="0"/>
        </c:dLbls>
        <c:gapWidth val="100"/>
        <c:overlap val="100"/>
        <c:serLines>
          <c:spPr>
            <a:ln w="9525" cap="flat" cmpd="sng" algn="ctr">
              <a:solidFill>
                <a:schemeClr val="tx1">
                  <a:lumMod val="35000"/>
                  <a:lumOff val="65000"/>
                </a:schemeClr>
              </a:solidFill>
              <a:round/>
            </a:ln>
            <a:effectLst/>
          </c:spPr>
        </c:serLines>
        <c:axId val="689123072"/>
        <c:axId val="689115856"/>
      </c:barChart>
      <c:catAx>
        <c:axId val="689123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crossAx val="689115856"/>
        <c:crosses val="autoZero"/>
        <c:auto val="1"/>
        <c:lblAlgn val="ctr"/>
        <c:lblOffset val="100"/>
        <c:noMultiLvlLbl val="0"/>
      </c:catAx>
      <c:valAx>
        <c:axId val="689115856"/>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nl-NL" sz="1600" baseline="0"/>
                  <a:t> Circulair Peil Index   CPI  [-]</a:t>
                </a:r>
                <a:endParaRPr lang="nl-NL"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title>
        <c:numFmt formatCode="0" sourceLinked="1"/>
        <c:majorTickMark val="out"/>
        <c:minorTickMark val="none"/>
        <c:tickLblPos val="nextTo"/>
        <c:spPr>
          <a:noFill/>
          <a:ln>
            <a:solidFill>
              <a:schemeClr val="bg1"/>
            </a:solid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8912307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r>
              <a:rPr lang="nl-NL" sz="1600" b="1"/>
              <a:t>Procesmonitor Circulaire Peiler</a:t>
            </a:r>
          </a:p>
          <a:p>
            <a:pPr algn="l">
              <a:defRPr sz="1600" b="1"/>
            </a:pPr>
            <a:r>
              <a:rPr lang="nl-NL" sz="1600" b="1"/>
              <a:t>CPI :</a:t>
            </a:r>
            <a:r>
              <a:rPr lang="nl-NL" sz="1600" b="1" baseline="0"/>
              <a:t> D</a:t>
            </a:r>
            <a:r>
              <a:rPr lang="nl-NL" sz="1600" b="1"/>
              <a:t>e 8 circulaire ontwerpprincipes</a:t>
            </a:r>
          </a:p>
        </c:rich>
      </c:tx>
      <c:layout>
        <c:manualLayout>
          <c:xMode val="edge"/>
          <c:yMode val="edge"/>
          <c:x val="0.18955827682422982"/>
          <c:y val="1.3285023071706547E-2"/>
        </c:manualLayout>
      </c:layout>
      <c:overlay val="0"/>
      <c:spPr>
        <a:noFill/>
        <a:ln>
          <a:noFill/>
        </a:ln>
        <a:effectLst/>
      </c:spPr>
      <c:txPr>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21125280475587238"/>
          <c:y val="0.14728383294882977"/>
          <c:w val="0.28643798074136634"/>
          <c:h val="0.78337073762213927"/>
        </c:manualLayout>
      </c:layout>
      <c:barChart>
        <c:barDir val="col"/>
        <c:grouping val="stacked"/>
        <c:varyColors val="0"/>
        <c:ser>
          <c:idx val="0"/>
          <c:order val="0"/>
          <c:tx>
            <c:strRef>
              <c:f>'invoer Basis'!$BZI$54</c:f>
              <c:strCache>
                <c:ptCount val="1"/>
                <c:pt idx="0">
                  <c:v>Voorkómen: niet doen wat echt niet hoeft</c:v>
                </c:pt>
              </c:strCache>
            </c:strRef>
          </c:tx>
          <c:spPr>
            <a:solidFill>
              <a:schemeClr val="accent1"/>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Basis'!$BZJ$54</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0-B51E-4160-B963-12D432704696}"/>
            </c:ext>
          </c:extLst>
        </c:ser>
        <c:ser>
          <c:idx val="1"/>
          <c:order val="1"/>
          <c:tx>
            <c:strRef>
              <c:f>'invoer Basis'!$BZI$55</c:f>
              <c:strCache>
                <c:ptCount val="1"/>
                <c:pt idx="0">
                  <c:v>Verleng de levensduur van bestaande objecten of componenten</c:v>
                </c:pt>
              </c:strCache>
            </c:strRef>
          </c:tx>
          <c:spPr>
            <a:solidFill>
              <a:schemeClr val="accent2"/>
            </a:solidFill>
            <a:ln w="19050">
              <a:solidFill>
                <a:schemeClr val="lt1"/>
              </a:solidFill>
            </a:ln>
            <a:effectLst/>
          </c:spPr>
          <c:invertIfNegative val="0"/>
          <c:val>
            <c:numRef>
              <c:f>'invoer Basis'!$BZJ$55</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1-B51E-4160-B963-12D432704696}"/>
            </c:ext>
          </c:extLst>
        </c:ser>
        <c:ser>
          <c:idx val="2"/>
          <c:order val="2"/>
          <c:tx>
            <c:strRef>
              <c:f>'invoer Basis'!$BZI$56</c:f>
              <c:strCache>
                <c:ptCount val="1"/>
                <c:pt idx="0">
                  <c:v>Duurzaam gebruik van bestaande objecten, materialen, grondstoffen en natuurlijke processen</c:v>
                </c:pt>
              </c:strCache>
            </c:strRef>
          </c:tx>
          <c:spPr>
            <a:solidFill>
              <a:schemeClr val="accent3"/>
            </a:solidFill>
            <a:ln w="19050">
              <a:solidFill>
                <a:schemeClr val="lt1"/>
              </a:solidFill>
            </a:ln>
            <a:effectLst/>
          </c:spPr>
          <c:invertIfNegative val="0"/>
          <c:val>
            <c:numRef>
              <c:f>'invoer Basis'!$BZJ$56</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2-B51E-4160-B963-12D432704696}"/>
            </c:ext>
          </c:extLst>
        </c:ser>
        <c:ser>
          <c:idx val="3"/>
          <c:order val="3"/>
          <c:tx>
            <c:strRef>
              <c:f>'invoer Basis'!$BZI$57</c:f>
              <c:strCache>
                <c:ptCount val="1"/>
                <c:pt idx="0">
                  <c:v>Ontwerp voor meerdere levenscycli</c:v>
                </c:pt>
              </c:strCache>
            </c:strRef>
          </c:tx>
          <c:spPr>
            <a:solidFill>
              <a:schemeClr val="accent4"/>
            </a:solidFill>
            <a:ln w="19050">
              <a:solidFill>
                <a:schemeClr val="lt1"/>
              </a:solidFill>
            </a:ln>
            <a:effectLst/>
          </c:spPr>
          <c:invertIfNegative val="0"/>
          <c:val>
            <c:numRef>
              <c:f>'invoer Basis'!$BZJ$57</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3-B51E-4160-B963-12D432704696}"/>
            </c:ext>
          </c:extLst>
        </c:ser>
        <c:ser>
          <c:idx val="4"/>
          <c:order val="4"/>
          <c:tx>
            <c:strRef>
              <c:f>'invoer Basis'!$BZI$58</c:f>
              <c:strCache>
                <c:ptCount val="1"/>
                <c:pt idx="0">
                  <c:v>Ontwerp toekomstbestendig</c:v>
                </c:pt>
              </c:strCache>
            </c:strRef>
          </c:tx>
          <c:spPr>
            <a:solidFill>
              <a:schemeClr val="accent5"/>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Basis'!$BZJ$58</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4-B51E-4160-B963-12D432704696}"/>
            </c:ext>
          </c:extLst>
        </c:ser>
        <c:ser>
          <c:idx val="5"/>
          <c:order val="5"/>
          <c:tx>
            <c:strRef>
              <c:f>'invoer Basis'!$BZI$59</c:f>
              <c:strCache>
                <c:ptCount val="1"/>
                <c:pt idx="0">
                  <c:v>Ontwerp voor optimaal beheer en onderhoud </c:v>
                </c:pt>
              </c:strCache>
            </c:strRef>
          </c:tx>
          <c:spPr>
            <a:solidFill>
              <a:schemeClr val="accent6"/>
            </a:solidFill>
            <a:ln w="19050">
              <a:solidFill>
                <a:schemeClr val="lt1"/>
              </a:solidFill>
            </a:ln>
            <a:effectLst/>
          </c:spPr>
          <c:invertIfNegative val="0"/>
          <c:val>
            <c:numRef>
              <c:f>'invoer Basis'!$BZJ$59</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5-B51E-4160-B963-12D432704696}"/>
            </c:ext>
          </c:extLst>
        </c:ser>
        <c:ser>
          <c:idx val="6"/>
          <c:order val="6"/>
          <c:tx>
            <c:strRef>
              <c:f>'invoer Basis'!$BZI$60</c:f>
              <c:strCache>
                <c:ptCount val="1"/>
                <c:pt idx="0">
                  <c:v>Duurzaam materiaalgebruik (hoeveel x milieubelasting)</c:v>
                </c:pt>
              </c:strCache>
            </c:strRef>
          </c:tx>
          <c:spPr>
            <a:solidFill>
              <a:schemeClr val="accent1">
                <a:lumMod val="60000"/>
              </a:schemeClr>
            </a:solidFill>
            <a:ln w="19050">
              <a:solidFill>
                <a:schemeClr val="lt1"/>
              </a:solidFill>
            </a:ln>
            <a:effectLst/>
          </c:spPr>
          <c:invertIfNegative val="0"/>
          <c:val>
            <c:numRef>
              <c:f>'invoer Basis'!$BZJ$60</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6-B51E-4160-B963-12D432704696}"/>
            </c:ext>
          </c:extLst>
        </c:ser>
        <c:ser>
          <c:idx val="7"/>
          <c:order val="7"/>
          <c:tx>
            <c:strRef>
              <c:f>'invoer Basis'!$BZI$61</c:f>
              <c:strCache>
                <c:ptCount val="1"/>
                <c:pt idx="0">
                  <c:v>Ontwerp voor minimaal grondstof- en energiegebruik in de aanleg/gebruiksfase</c:v>
                </c:pt>
              </c:strCache>
            </c:strRef>
          </c:tx>
          <c:spPr>
            <a:solidFill>
              <a:schemeClr val="accent2">
                <a:lumMod val="60000"/>
              </a:schemeClr>
            </a:solidFill>
            <a:ln w="19050">
              <a:solidFill>
                <a:schemeClr val="lt1"/>
              </a:solidFill>
            </a:ln>
            <a:effectLst/>
          </c:spPr>
          <c:invertIfNegative val="0"/>
          <c:val>
            <c:numRef>
              <c:f>'invoer Basis'!$BZJ$61</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7-B51E-4160-B963-12D432704696}"/>
            </c:ext>
          </c:extLst>
        </c:ser>
        <c:ser>
          <c:idx val="8"/>
          <c:order val="8"/>
          <c:tx>
            <c:strRef>
              <c:f>'invoer Basis'!$BZI$62</c:f>
              <c:strCache>
                <c:ptCount val="1"/>
                <c:pt idx="0">
                  <c:v>Rest</c:v>
                </c:pt>
              </c:strCache>
            </c:strRef>
          </c:tx>
          <c:spPr>
            <a:solidFill>
              <a:schemeClr val="accent3">
                <a:lumMod val="60000"/>
              </a:schemeClr>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Basis'!$BZJ$62</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8-B51E-4160-B963-12D432704696}"/>
            </c:ext>
          </c:extLst>
        </c:ser>
        <c:dLbls>
          <c:showLegendKey val="0"/>
          <c:showVal val="0"/>
          <c:showCatName val="0"/>
          <c:showSerName val="0"/>
          <c:showPercent val="0"/>
          <c:showBubbleSize val="0"/>
        </c:dLbls>
        <c:gapWidth val="100"/>
        <c:overlap val="100"/>
        <c:axId val="620690952"/>
        <c:axId val="620694560"/>
      </c:barChart>
      <c:catAx>
        <c:axId val="6206909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crossAx val="620694560"/>
        <c:crosses val="autoZero"/>
        <c:auto val="1"/>
        <c:lblAlgn val="ctr"/>
        <c:lblOffset val="100"/>
        <c:noMultiLvlLbl val="0"/>
      </c:catAx>
      <c:valAx>
        <c:axId val="620694560"/>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r>
                  <a:rPr lang="nl-NL" sz="2400"/>
                  <a:t>Circulair Peil Index (CPI)  (max 100)</a:t>
                </a:r>
              </a:p>
            </c:rich>
          </c:tx>
          <c:overlay val="0"/>
          <c:spPr>
            <a:noFill/>
            <a:ln>
              <a:noFill/>
            </a:ln>
            <a:effectLst/>
          </c:spPr>
          <c:txPr>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endParaRPr lang="nl-NL"/>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20690952"/>
        <c:crosses val="autoZero"/>
        <c:crossBetween val="between"/>
        <c:majorUnit val="20"/>
      </c:valAx>
      <c:spPr>
        <a:gradFill>
          <a:gsLst>
            <a:gs pos="30000">
              <a:srgbClr val="FFFF00">
                <a:alpha val="50196"/>
              </a:srgbClr>
            </a:gs>
            <a:gs pos="20000">
              <a:srgbClr val="92D050">
                <a:alpha val="50196"/>
              </a:srgbClr>
            </a:gs>
            <a:gs pos="10000">
              <a:srgbClr val="00B050">
                <a:alpha val="50196"/>
              </a:srgbClr>
            </a:gs>
            <a:gs pos="40000">
              <a:srgbClr val="FFC000">
                <a:alpha val="50000"/>
              </a:srgbClr>
            </a:gs>
            <a:gs pos="5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nl-NL" sz="1800"/>
              <a:t>Referentiemonitor verbetering (reductie) Milieukosten / Circulariteit / CO2</a:t>
            </a:r>
          </a:p>
        </c:rich>
      </c:tx>
      <c:layout>
        <c:manualLayout>
          <c:xMode val="edge"/>
          <c:yMode val="edge"/>
          <c:x val="0.23003133202099738"/>
          <c:y val="2.7777880267646139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spPr>
            <a:solidFill>
              <a:schemeClr val="accent1"/>
            </a:solidFill>
            <a:ln>
              <a:solidFill>
                <a:srgbClr val="FFFFFF"/>
              </a:solidFill>
            </a:ln>
            <a:effectLst/>
          </c:spPr>
          <c:invertIfNegative val="0"/>
          <c:dPt>
            <c:idx val="0"/>
            <c:invertIfNegative val="0"/>
            <c:bubble3D val="0"/>
            <c:spPr>
              <a:solidFill>
                <a:srgbClr val="92D050"/>
              </a:solidFill>
              <a:ln>
                <a:solidFill>
                  <a:srgbClr val="FFFFFF"/>
                </a:solidFill>
              </a:ln>
              <a:effectLst/>
            </c:spPr>
            <c:extLst>
              <c:ext xmlns:c16="http://schemas.microsoft.com/office/drawing/2014/chart" uri="{C3380CC4-5D6E-409C-BE32-E72D297353CC}">
                <c16:uniqueId val="{00000001-16C5-4F35-8A8A-ECF41DCE8F96}"/>
              </c:ext>
            </c:extLst>
          </c:dPt>
          <c:dPt>
            <c:idx val="1"/>
            <c:invertIfNegative val="0"/>
            <c:bubble3D val="0"/>
            <c:spPr>
              <a:solidFill>
                <a:srgbClr val="00B0F0"/>
              </a:solidFill>
              <a:ln>
                <a:solidFill>
                  <a:srgbClr val="FFFFFF"/>
                </a:solidFill>
              </a:ln>
              <a:effectLst/>
            </c:spPr>
            <c:extLst>
              <c:ext xmlns:c16="http://schemas.microsoft.com/office/drawing/2014/chart" uri="{C3380CC4-5D6E-409C-BE32-E72D297353CC}">
                <c16:uniqueId val="{00000003-16C5-4F35-8A8A-ECF41DCE8F96}"/>
              </c:ext>
            </c:extLst>
          </c:dPt>
          <c:dPt>
            <c:idx val="2"/>
            <c:invertIfNegative val="0"/>
            <c:bubble3D val="0"/>
            <c:spPr>
              <a:solidFill>
                <a:srgbClr val="FF0000"/>
              </a:solidFill>
              <a:ln>
                <a:solidFill>
                  <a:srgbClr val="FFFFFF"/>
                </a:solidFill>
              </a:ln>
              <a:effectLst/>
            </c:spPr>
            <c:extLst>
              <c:ext xmlns:c16="http://schemas.microsoft.com/office/drawing/2014/chart" uri="{C3380CC4-5D6E-409C-BE32-E72D297353CC}">
                <c16:uniqueId val="{00000005-16C5-4F35-8A8A-ECF41DCE8F96}"/>
              </c:ext>
            </c:extLst>
          </c:dPt>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('B1'!$AN$67,'B1'!$AN$71,'B1'!$AN$75)</c:f>
              <c:strCache>
                <c:ptCount val="3"/>
                <c:pt idx="0">
                  <c:v>MKI reductie t.o.v. referentie € </c:v>
                </c:pt>
                <c:pt idx="1">
                  <c:v>MCI reductie t.o.v. referentie  [-]</c:v>
                </c:pt>
                <c:pt idx="2">
                  <c:v>CO2 reductie t.o.v. referentie  tonCO2</c:v>
                </c:pt>
              </c:strCache>
            </c:strRef>
          </c:cat>
          <c:val>
            <c:numRef>
              <c:f>('B1'!$AP$67,'B1'!$AP$71,'B1'!$AP$75)</c:f>
              <c:numCache>
                <c:formatCode>0%</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6-16C5-4F35-8A8A-ECF41DCE8F96}"/>
            </c:ext>
          </c:extLst>
        </c:ser>
        <c:ser>
          <c:idx val="1"/>
          <c:order val="1"/>
          <c:spPr>
            <a:solidFill>
              <a:srgbClr val="FFFFFF">
                <a:alpha val="30196"/>
              </a:srgbClr>
            </a:solidFill>
            <a:ln>
              <a:solidFill>
                <a:srgbClr val="FFFFFF">
                  <a:alpha val="0"/>
                </a:srgbClr>
              </a:solidFill>
            </a:ln>
            <a:effectLst/>
          </c:spPr>
          <c:invertIfNegative val="0"/>
          <c:cat>
            <c:strRef>
              <c:f>('invoer Basis'!$AN$67,'invoer Basis'!$AN$71,'invoer Basis'!$AN$75)</c:f>
              <c:strCache>
                <c:ptCount val="3"/>
                <c:pt idx="0">
                  <c:v>MKI reductie t.o.v. referentie € </c:v>
                </c:pt>
                <c:pt idx="1">
                  <c:v>MCI reductie t.o.v. referentie  [-]</c:v>
                </c:pt>
                <c:pt idx="2">
                  <c:v>CO2 reductie t.o.v. referentie  tonCO2</c:v>
                </c:pt>
              </c:strCache>
            </c:strRef>
          </c:cat>
          <c:val>
            <c:numRef>
              <c:f>('invoer Basis'!$AO$67,'invoer Basis'!$AO$71,'invoer Basis'!$AO$75)</c:f>
            </c:numRef>
          </c:val>
          <c:extLst xmlns:c15="http://schemas.microsoft.com/office/drawing/2012/chart">
            <c:ext xmlns:c16="http://schemas.microsoft.com/office/drawing/2014/chart" uri="{C3380CC4-5D6E-409C-BE32-E72D297353CC}">
              <c16:uniqueId val="{00000007-16C5-4F35-8A8A-ECF41DCE8F96}"/>
            </c:ext>
          </c:extLst>
        </c:ser>
        <c:dLbls>
          <c:showLegendKey val="0"/>
          <c:showVal val="0"/>
          <c:showCatName val="0"/>
          <c:showSerName val="0"/>
          <c:showPercent val="0"/>
          <c:showBubbleSize val="0"/>
        </c:dLbls>
        <c:gapWidth val="50"/>
        <c:overlap val="10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nl-NL" sz="1600" baseline="0"/>
                  <a:t> Reductie MKI / Circulariteit / CO2 [%]</a:t>
                </a:r>
                <a:endParaRPr lang="nl-NL"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gradFill>
          <a:gsLst>
            <a:gs pos="60000">
              <a:srgbClr val="FFFF00">
                <a:alpha val="50196"/>
              </a:srgbClr>
            </a:gs>
            <a:gs pos="29000">
              <a:srgbClr val="92D050">
                <a:alpha val="50196"/>
              </a:srgbClr>
            </a:gs>
            <a:gs pos="10000">
              <a:srgbClr val="00B050">
                <a:alpha val="50196"/>
              </a:srgbClr>
            </a:gs>
            <a:gs pos="70000">
              <a:srgbClr val="FFC000">
                <a:alpha val="50000"/>
              </a:srgbClr>
            </a:gs>
            <a:gs pos="8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r>
              <a:rPr lang="nl-NL" sz="1600" b="1"/>
              <a:t>Procesmonitor Circulaire Peiler</a:t>
            </a:r>
          </a:p>
          <a:p>
            <a:pPr algn="l">
              <a:defRPr sz="1600" b="1"/>
            </a:pPr>
            <a:r>
              <a:rPr lang="nl-NL" sz="1600" b="1"/>
              <a:t>CPI :</a:t>
            </a:r>
            <a:r>
              <a:rPr lang="nl-NL" sz="1600" b="1" baseline="0"/>
              <a:t> D</a:t>
            </a:r>
            <a:r>
              <a:rPr lang="nl-NL" sz="1600" b="1"/>
              <a:t>e 8 circulaire ontwerpprincipes</a:t>
            </a:r>
          </a:p>
        </c:rich>
      </c:tx>
      <c:layout>
        <c:manualLayout>
          <c:xMode val="edge"/>
          <c:yMode val="edge"/>
          <c:x val="0.18955827682422982"/>
          <c:y val="1.3285023071706547E-2"/>
        </c:manualLayout>
      </c:layout>
      <c:overlay val="0"/>
      <c:spPr>
        <a:noFill/>
        <a:ln>
          <a:noFill/>
        </a:ln>
        <a:effectLst/>
      </c:spPr>
      <c:txPr>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21125280475587238"/>
          <c:y val="0.14728383294882977"/>
          <c:w val="0.28643798074136634"/>
          <c:h val="0.78337073762213927"/>
        </c:manualLayout>
      </c:layout>
      <c:barChart>
        <c:barDir val="col"/>
        <c:grouping val="stacked"/>
        <c:varyColors val="0"/>
        <c:ser>
          <c:idx val="0"/>
          <c:order val="0"/>
          <c:tx>
            <c:strRef>
              <c:f>'invoer Basis'!$BZI$54</c:f>
              <c:strCache>
                <c:ptCount val="1"/>
                <c:pt idx="0">
                  <c:v>Voorkómen: niet doen wat echt niet hoeft</c:v>
                </c:pt>
              </c:strCache>
            </c:strRef>
          </c:tx>
          <c:spPr>
            <a:solidFill>
              <a:schemeClr val="accent1"/>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Basis'!$BZJ$54</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0-D86D-4818-BFBC-02159D472B9E}"/>
            </c:ext>
          </c:extLst>
        </c:ser>
        <c:ser>
          <c:idx val="1"/>
          <c:order val="1"/>
          <c:tx>
            <c:strRef>
              <c:f>'invoer Basis'!$BZI$55</c:f>
              <c:strCache>
                <c:ptCount val="1"/>
                <c:pt idx="0">
                  <c:v>Verleng de levensduur van bestaande objecten of componenten</c:v>
                </c:pt>
              </c:strCache>
            </c:strRef>
          </c:tx>
          <c:spPr>
            <a:solidFill>
              <a:schemeClr val="accent2"/>
            </a:solidFill>
            <a:ln w="19050">
              <a:solidFill>
                <a:schemeClr val="lt1"/>
              </a:solidFill>
            </a:ln>
            <a:effectLst/>
          </c:spPr>
          <c:invertIfNegative val="0"/>
          <c:val>
            <c:numRef>
              <c:f>'invoer Basis'!$BZJ$55</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1-D86D-4818-BFBC-02159D472B9E}"/>
            </c:ext>
          </c:extLst>
        </c:ser>
        <c:ser>
          <c:idx val="2"/>
          <c:order val="2"/>
          <c:tx>
            <c:strRef>
              <c:f>'invoer Basis'!$BZI$56</c:f>
              <c:strCache>
                <c:ptCount val="1"/>
                <c:pt idx="0">
                  <c:v>Duurzaam gebruik van bestaande objecten, materialen, grondstoffen en natuurlijke processen</c:v>
                </c:pt>
              </c:strCache>
            </c:strRef>
          </c:tx>
          <c:spPr>
            <a:solidFill>
              <a:schemeClr val="accent3"/>
            </a:solidFill>
            <a:ln w="19050">
              <a:solidFill>
                <a:schemeClr val="lt1"/>
              </a:solidFill>
            </a:ln>
            <a:effectLst/>
          </c:spPr>
          <c:invertIfNegative val="0"/>
          <c:val>
            <c:numRef>
              <c:f>'invoer Basis'!$BZJ$56</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2-D86D-4818-BFBC-02159D472B9E}"/>
            </c:ext>
          </c:extLst>
        </c:ser>
        <c:ser>
          <c:idx val="3"/>
          <c:order val="3"/>
          <c:tx>
            <c:strRef>
              <c:f>'invoer Basis'!$BZI$57</c:f>
              <c:strCache>
                <c:ptCount val="1"/>
                <c:pt idx="0">
                  <c:v>Ontwerp voor meerdere levenscycli</c:v>
                </c:pt>
              </c:strCache>
            </c:strRef>
          </c:tx>
          <c:spPr>
            <a:solidFill>
              <a:schemeClr val="accent4"/>
            </a:solidFill>
            <a:ln w="19050">
              <a:solidFill>
                <a:schemeClr val="lt1"/>
              </a:solidFill>
            </a:ln>
            <a:effectLst/>
          </c:spPr>
          <c:invertIfNegative val="0"/>
          <c:val>
            <c:numRef>
              <c:f>'invoer Basis'!$BZJ$57</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3-D86D-4818-BFBC-02159D472B9E}"/>
            </c:ext>
          </c:extLst>
        </c:ser>
        <c:ser>
          <c:idx val="4"/>
          <c:order val="4"/>
          <c:tx>
            <c:strRef>
              <c:f>'invoer Basis'!$BZI$58</c:f>
              <c:strCache>
                <c:ptCount val="1"/>
                <c:pt idx="0">
                  <c:v>Ontwerp toekomstbestendig</c:v>
                </c:pt>
              </c:strCache>
            </c:strRef>
          </c:tx>
          <c:spPr>
            <a:solidFill>
              <a:schemeClr val="accent5"/>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Basis'!$BZJ$58</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4-D86D-4818-BFBC-02159D472B9E}"/>
            </c:ext>
          </c:extLst>
        </c:ser>
        <c:ser>
          <c:idx val="5"/>
          <c:order val="5"/>
          <c:tx>
            <c:strRef>
              <c:f>'invoer Basis'!$BZI$59</c:f>
              <c:strCache>
                <c:ptCount val="1"/>
                <c:pt idx="0">
                  <c:v>Ontwerp voor optimaal beheer en onderhoud </c:v>
                </c:pt>
              </c:strCache>
            </c:strRef>
          </c:tx>
          <c:spPr>
            <a:solidFill>
              <a:schemeClr val="accent6"/>
            </a:solidFill>
            <a:ln w="19050">
              <a:solidFill>
                <a:schemeClr val="lt1"/>
              </a:solidFill>
            </a:ln>
            <a:effectLst/>
          </c:spPr>
          <c:invertIfNegative val="0"/>
          <c:val>
            <c:numRef>
              <c:f>'invoer Basis'!$BZJ$59</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5-D86D-4818-BFBC-02159D472B9E}"/>
            </c:ext>
          </c:extLst>
        </c:ser>
        <c:ser>
          <c:idx val="6"/>
          <c:order val="6"/>
          <c:tx>
            <c:strRef>
              <c:f>'invoer Basis'!$BZI$60</c:f>
              <c:strCache>
                <c:ptCount val="1"/>
                <c:pt idx="0">
                  <c:v>Duurzaam materiaalgebruik (hoeveel x milieubelasting)</c:v>
                </c:pt>
              </c:strCache>
            </c:strRef>
          </c:tx>
          <c:spPr>
            <a:solidFill>
              <a:schemeClr val="accent1">
                <a:lumMod val="60000"/>
              </a:schemeClr>
            </a:solidFill>
            <a:ln w="19050">
              <a:solidFill>
                <a:schemeClr val="lt1"/>
              </a:solidFill>
            </a:ln>
            <a:effectLst/>
          </c:spPr>
          <c:invertIfNegative val="0"/>
          <c:val>
            <c:numRef>
              <c:f>'invoer Basis'!$BZJ$60</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6-D86D-4818-BFBC-02159D472B9E}"/>
            </c:ext>
          </c:extLst>
        </c:ser>
        <c:ser>
          <c:idx val="7"/>
          <c:order val="7"/>
          <c:tx>
            <c:strRef>
              <c:f>'invoer Basis'!$BZI$61</c:f>
              <c:strCache>
                <c:ptCount val="1"/>
                <c:pt idx="0">
                  <c:v>Ontwerp voor minimaal grondstof- en energiegebruik in de aanleg/gebruiksfase</c:v>
                </c:pt>
              </c:strCache>
            </c:strRef>
          </c:tx>
          <c:spPr>
            <a:solidFill>
              <a:schemeClr val="accent2">
                <a:lumMod val="60000"/>
              </a:schemeClr>
            </a:solidFill>
            <a:ln w="19050">
              <a:solidFill>
                <a:schemeClr val="lt1"/>
              </a:solidFill>
            </a:ln>
            <a:effectLst/>
          </c:spPr>
          <c:invertIfNegative val="0"/>
          <c:val>
            <c:numRef>
              <c:f>'invoer Basis'!$BZJ$61</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7-D86D-4818-BFBC-02159D472B9E}"/>
            </c:ext>
          </c:extLst>
        </c:ser>
        <c:ser>
          <c:idx val="8"/>
          <c:order val="8"/>
          <c:tx>
            <c:strRef>
              <c:f>'invoer Basis'!$BZI$62</c:f>
              <c:strCache>
                <c:ptCount val="1"/>
                <c:pt idx="0">
                  <c:v>Rest</c:v>
                </c:pt>
              </c:strCache>
            </c:strRef>
          </c:tx>
          <c:spPr>
            <a:solidFill>
              <a:schemeClr val="accent3">
                <a:lumMod val="60000"/>
              </a:schemeClr>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Basis'!$BZJ$62</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8-D86D-4818-BFBC-02159D472B9E}"/>
            </c:ext>
          </c:extLst>
        </c:ser>
        <c:dLbls>
          <c:showLegendKey val="0"/>
          <c:showVal val="0"/>
          <c:showCatName val="0"/>
          <c:showSerName val="0"/>
          <c:showPercent val="0"/>
          <c:showBubbleSize val="0"/>
        </c:dLbls>
        <c:gapWidth val="100"/>
        <c:overlap val="100"/>
        <c:axId val="620690952"/>
        <c:axId val="620694560"/>
      </c:barChart>
      <c:catAx>
        <c:axId val="6206909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crossAx val="620694560"/>
        <c:crosses val="autoZero"/>
        <c:auto val="1"/>
        <c:lblAlgn val="ctr"/>
        <c:lblOffset val="100"/>
        <c:noMultiLvlLbl val="0"/>
      </c:catAx>
      <c:valAx>
        <c:axId val="620694560"/>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r>
                  <a:rPr lang="nl-NL" sz="2400"/>
                  <a:t>Circulair Peil Index (CPI)  (max 100)</a:t>
                </a:r>
              </a:p>
            </c:rich>
          </c:tx>
          <c:overlay val="0"/>
          <c:spPr>
            <a:noFill/>
            <a:ln>
              <a:noFill/>
            </a:ln>
            <a:effectLst/>
          </c:spPr>
          <c:txPr>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endParaRPr lang="nl-NL"/>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20690952"/>
        <c:crosses val="autoZero"/>
        <c:crossBetween val="between"/>
        <c:majorUnit val="20"/>
      </c:valAx>
      <c:spPr>
        <a:gradFill>
          <a:gsLst>
            <a:gs pos="30000">
              <a:srgbClr val="FFFF00">
                <a:alpha val="50196"/>
              </a:srgbClr>
            </a:gs>
            <a:gs pos="20000">
              <a:srgbClr val="92D050">
                <a:alpha val="50196"/>
              </a:srgbClr>
            </a:gs>
            <a:gs pos="10000">
              <a:srgbClr val="00B050">
                <a:alpha val="50196"/>
              </a:srgbClr>
            </a:gs>
            <a:gs pos="40000">
              <a:srgbClr val="FFC000">
                <a:alpha val="50000"/>
              </a:srgbClr>
            </a:gs>
            <a:gs pos="5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r>
              <a:rPr lang="nl-NL" sz="1800" b="1"/>
              <a:t>Procesmonitor Circulaire Peiler (in detail)</a:t>
            </a:r>
          </a:p>
        </c:rich>
      </c:tx>
      <c:overlay val="0"/>
      <c:spPr>
        <a:noFill/>
        <a:ln>
          <a:noFill/>
        </a:ln>
        <a:effectLst/>
      </c:spPr>
      <c:txPr>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tx>
            <c:strRef>
              <c:f>'C1'!$CAA$24</c:f>
              <c:strCache>
                <c:ptCount val="1"/>
                <c:pt idx="0">
                  <c:v>verklein opgave</c:v>
                </c:pt>
              </c:strCache>
            </c:strRef>
          </c:tx>
          <c:spPr>
            <a:solidFill>
              <a:schemeClr val="tx2">
                <a:lumMod val="75000"/>
              </a:schemeClr>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'C1'!$CAB$24:$CAC$24</c:f>
              <c:numCache>
                <c:formatCode>0</c:formatCode>
                <c:ptCount val="2"/>
                <c:pt idx="0">
                  <c:v>#N/A</c:v>
                </c:pt>
                <c:pt idx="1">
                  <c:v>27</c:v>
                </c:pt>
              </c:numCache>
            </c:numRef>
          </c:val>
          <c:extLst>
            <c:ext xmlns:c16="http://schemas.microsoft.com/office/drawing/2014/chart" uri="{C3380CC4-5D6E-409C-BE32-E72D297353CC}">
              <c16:uniqueId val="{00000000-B44F-4E68-95BB-CF19BA07F908}"/>
            </c:ext>
          </c:extLst>
        </c:ser>
        <c:ser>
          <c:idx val="1"/>
          <c:order val="1"/>
          <c:tx>
            <c:strRef>
              <c:f>'C1'!$CAA$25</c:f>
              <c:strCache>
                <c:ptCount val="1"/>
                <c:pt idx="0">
                  <c:v>levensduurverlenging</c:v>
                </c:pt>
              </c:strCache>
            </c:strRef>
          </c:tx>
          <c:spPr>
            <a:solidFill>
              <a:srgbClr val="FF0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'C1'!$CAB$25:$CAC$25</c:f>
              <c:numCache>
                <c:formatCode>0</c:formatCode>
                <c:ptCount val="2"/>
                <c:pt idx="0">
                  <c:v>#N/A</c:v>
                </c:pt>
                <c:pt idx="1">
                  <c:v>7.0000000000000009</c:v>
                </c:pt>
              </c:numCache>
            </c:numRef>
          </c:val>
          <c:extLst>
            <c:ext xmlns:c16="http://schemas.microsoft.com/office/drawing/2014/chart" uri="{C3380CC4-5D6E-409C-BE32-E72D297353CC}">
              <c16:uniqueId val="{00000001-B44F-4E68-95BB-CF19BA07F908}"/>
            </c:ext>
          </c:extLst>
        </c:ser>
        <c:ser>
          <c:idx val="2"/>
          <c:order val="2"/>
          <c:tx>
            <c:strRef>
              <c:f>'C1'!$CAA$26</c:f>
              <c:strCache>
                <c:ptCount val="1"/>
                <c:pt idx="0">
                  <c:v>hergebruik</c:v>
                </c:pt>
              </c:strCache>
            </c:strRef>
          </c:tx>
          <c:spPr>
            <a:solidFill>
              <a:srgbClr val="00B05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'C1'!$CAB$26:$CAC$26</c:f>
              <c:numCache>
                <c:formatCode>0</c:formatCode>
                <c:ptCount val="2"/>
                <c:pt idx="0">
                  <c:v>#N/A</c:v>
                </c:pt>
                <c:pt idx="1">
                  <c:v>2.8000000000000003</c:v>
                </c:pt>
              </c:numCache>
            </c:numRef>
          </c:val>
          <c:extLst>
            <c:ext xmlns:c16="http://schemas.microsoft.com/office/drawing/2014/chart" uri="{C3380CC4-5D6E-409C-BE32-E72D297353CC}">
              <c16:uniqueId val="{00000002-B44F-4E68-95BB-CF19BA07F908}"/>
            </c:ext>
          </c:extLst>
        </c:ser>
        <c:ser>
          <c:idx val="3"/>
          <c:order val="3"/>
          <c:tx>
            <c:strRef>
              <c:f>'C1'!$CAA$27</c:f>
              <c:strCache>
                <c:ptCount val="1"/>
                <c:pt idx="0">
                  <c:v>materialendatabank</c:v>
                </c:pt>
              </c:strCache>
            </c:strRef>
          </c:tx>
          <c:spPr>
            <a:solidFill>
              <a:srgbClr val="00FF99"/>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'C1'!$CAB$27:$CAC$27</c:f>
              <c:numCache>
                <c:formatCode>0</c:formatCode>
                <c:ptCount val="2"/>
                <c:pt idx="0">
                  <c:v>#N/A</c:v>
                </c:pt>
                <c:pt idx="1">
                  <c:v>2.8000000000000003</c:v>
                </c:pt>
              </c:numCache>
            </c:numRef>
          </c:val>
          <c:extLst>
            <c:ext xmlns:c16="http://schemas.microsoft.com/office/drawing/2014/chart" uri="{C3380CC4-5D6E-409C-BE32-E72D297353CC}">
              <c16:uniqueId val="{00000003-B44F-4E68-95BB-CF19BA07F908}"/>
            </c:ext>
          </c:extLst>
        </c:ser>
        <c:ser>
          <c:idx val="4"/>
          <c:order val="4"/>
          <c:tx>
            <c:strRef>
              <c:f>'C1'!$CAA$28</c:f>
              <c:strCache>
                <c:ptCount val="1"/>
                <c:pt idx="0">
                  <c:v>natuurlijk proces</c:v>
                </c:pt>
              </c:strCache>
            </c:strRef>
          </c:tx>
          <c:spPr>
            <a:solidFill>
              <a:srgbClr val="CCFFCC"/>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'C1'!$CAB$28:$CAC$28</c:f>
              <c:numCache>
                <c:formatCode>0</c:formatCode>
                <c:ptCount val="2"/>
                <c:pt idx="0">
                  <c:v>#N/A</c:v>
                </c:pt>
                <c:pt idx="1">
                  <c:v>1.4000000000000001</c:v>
                </c:pt>
              </c:numCache>
            </c:numRef>
          </c:val>
          <c:extLst>
            <c:ext xmlns:c16="http://schemas.microsoft.com/office/drawing/2014/chart" uri="{C3380CC4-5D6E-409C-BE32-E72D297353CC}">
              <c16:uniqueId val="{00000004-B44F-4E68-95BB-CF19BA07F908}"/>
            </c:ext>
          </c:extLst>
        </c:ser>
        <c:ser>
          <c:idx val="5"/>
          <c:order val="5"/>
          <c:tx>
            <c:strRef>
              <c:f>'C1'!$CAA$29</c:f>
              <c:strCache>
                <c:ptCount val="1"/>
                <c:pt idx="0">
                  <c:v>herbruikb.na afdank</c:v>
                </c:pt>
              </c:strCache>
            </c:strRef>
          </c:tx>
          <c:spPr>
            <a:solidFill>
              <a:srgbClr val="FFC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'C1'!$CAB$29:$CAC$29</c:f>
              <c:numCache>
                <c:formatCode>0</c:formatCode>
                <c:ptCount val="2"/>
                <c:pt idx="0">
                  <c:v>#N/A</c:v>
                </c:pt>
                <c:pt idx="1">
                  <c:v>6.3000000000000007</c:v>
                </c:pt>
              </c:numCache>
            </c:numRef>
          </c:val>
          <c:extLst>
            <c:ext xmlns:c16="http://schemas.microsoft.com/office/drawing/2014/chart" uri="{C3380CC4-5D6E-409C-BE32-E72D297353CC}">
              <c16:uniqueId val="{00000005-B44F-4E68-95BB-CF19BA07F908}"/>
            </c:ext>
          </c:extLst>
        </c:ser>
        <c:ser>
          <c:idx val="6"/>
          <c:order val="6"/>
          <c:tx>
            <c:strRef>
              <c:f>'C1'!$CAA$30</c:f>
              <c:strCache>
                <c:ptCount val="1"/>
                <c:pt idx="0">
                  <c:v>materialenpaspoort</c:v>
                </c:pt>
              </c:strCache>
            </c:strRef>
          </c:tx>
          <c:spPr>
            <a:solidFill>
              <a:srgbClr val="FFFF66"/>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'C1'!$CAB$30:$CAC$30</c:f>
              <c:numCache>
                <c:formatCode>0</c:formatCode>
                <c:ptCount val="2"/>
                <c:pt idx="0">
                  <c:v>#N/A</c:v>
                </c:pt>
                <c:pt idx="1">
                  <c:v>0.70000000000000007</c:v>
                </c:pt>
              </c:numCache>
            </c:numRef>
          </c:val>
          <c:extLst>
            <c:ext xmlns:c16="http://schemas.microsoft.com/office/drawing/2014/chart" uri="{C3380CC4-5D6E-409C-BE32-E72D297353CC}">
              <c16:uniqueId val="{00000006-B44F-4E68-95BB-CF19BA07F908}"/>
            </c:ext>
          </c:extLst>
        </c:ser>
        <c:ser>
          <c:idx val="7"/>
          <c:order val="7"/>
          <c:tx>
            <c:strRef>
              <c:f>'C1'!$CAA$31</c:f>
              <c:strCache>
                <c:ptCount val="1"/>
                <c:pt idx="0">
                  <c:v>toekomstgericht</c:v>
                </c:pt>
              </c:strCache>
            </c:strRef>
          </c:tx>
          <c:spPr>
            <a:solidFill>
              <a:srgbClr val="00206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'C1'!$CAB$31:$CAC$31</c:f>
              <c:numCache>
                <c:formatCode>0</c:formatCode>
                <c:ptCount val="2"/>
                <c:pt idx="0">
                  <c:v>#N/A</c:v>
                </c:pt>
                <c:pt idx="1">
                  <c:v>10</c:v>
                </c:pt>
              </c:numCache>
            </c:numRef>
          </c:val>
          <c:extLst>
            <c:ext xmlns:c16="http://schemas.microsoft.com/office/drawing/2014/chart" uri="{C3380CC4-5D6E-409C-BE32-E72D297353CC}">
              <c16:uniqueId val="{00000007-B44F-4E68-95BB-CF19BA07F908}"/>
            </c:ext>
          </c:extLst>
        </c:ser>
        <c:ser>
          <c:idx val="8"/>
          <c:order val="8"/>
          <c:tx>
            <c:strRef>
              <c:f>'C1'!$CAA$32</c:f>
              <c:strCache>
                <c:ptCount val="1"/>
                <c:pt idx="0">
                  <c:v>beheer/onderhoud</c:v>
                </c:pt>
              </c:strCache>
            </c:strRef>
          </c:tx>
          <c:spPr>
            <a:solidFill>
              <a:srgbClr val="6666FF"/>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'C1'!$CAB$32:$CAC$32</c:f>
              <c:numCache>
                <c:formatCode>0</c:formatCode>
                <c:ptCount val="2"/>
                <c:pt idx="0">
                  <c:v>#N/A</c:v>
                </c:pt>
                <c:pt idx="1">
                  <c:v>7.0000000000000009</c:v>
                </c:pt>
              </c:numCache>
            </c:numRef>
          </c:val>
          <c:extLst>
            <c:ext xmlns:c16="http://schemas.microsoft.com/office/drawing/2014/chart" uri="{C3380CC4-5D6E-409C-BE32-E72D297353CC}">
              <c16:uniqueId val="{00000008-B44F-4E68-95BB-CF19BA07F908}"/>
            </c:ext>
          </c:extLst>
        </c:ser>
        <c:ser>
          <c:idx val="9"/>
          <c:order val="9"/>
          <c:tx>
            <c:strRef>
              <c:f>'C1'!$CAA$33</c:f>
              <c:strCache>
                <c:ptCount val="1"/>
                <c:pt idx="0">
                  <c:v>MKIberekening</c:v>
                </c:pt>
              </c:strCache>
            </c:strRef>
          </c:tx>
          <c:spPr>
            <a:solidFill>
              <a:srgbClr val="FF6600">
                <a:alpha val="89804"/>
              </a:srgbClr>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0">
                <a:spAutoFit/>
              </a:bodyPr>
              <a:lstStyle/>
              <a:p>
                <a:pPr algn="ctr">
                  <a:defRPr lang="nl-NL"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'C1'!$CAB$33:$CAC$33</c:f>
              <c:numCache>
                <c:formatCode>0</c:formatCode>
                <c:ptCount val="2"/>
                <c:pt idx="0">
                  <c:v>#N/A</c:v>
                </c:pt>
                <c:pt idx="1">
                  <c:v>20</c:v>
                </c:pt>
              </c:numCache>
            </c:numRef>
          </c:val>
          <c:extLst>
            <c:ext xmlns:c16="http://schemas.microsoft.com/office/drawing/2014/chart" uri="{C3380CC4-5D6E-409C-BE32-E72D297353CC}">
              <c16:uniqueId val="{00000009-B44F-4E68-95BB-CF19BA07F908}"/>
            </c:ext>
          </c:extLst>
        </c:ser>
        <c:ser>
          <c:idx val="10"/>
          <c:order val="10"/>
          <c:tx>
            <c:strRef>
              <c:f>'C1'!$CAA$34</c:f>
              <c:strCache>
                <c:ptCount val="1"/>
                <c:pt idx="0">
                  <c:v>CIberekening</c:v>
                </c:pt>
              </c:strCache>
            </c:strRef>
          </c:tx>
          <c:spPr>
            <a:solidFill>
              <a:srgbClr val="FF9966"/>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'C1'!$CAB$34:$CAC$34</c:f>
              <c:numCache>
                <c:formatCode>0</c:formatCode>
                <c:ptCount val="2"/>
                <c:pt idx="0">
                  <c:v>#N/A</c:v>
                </c:pt>
                <c:pt idx="1">
                  <c:v>4.9999999999999991</c:v>
                </c:pt>
              </c:numCache>
            </c:numRef>
          </c:val>
          <c:extLst>
            <c:ext xmlns:c16="http://schemas.microsoft.com/office/drawing/2014/chart" uri="{C3380CC4-5D6E-409C-BE32-E72D297353CC}">
              <c16:uniqueId val="{0000000A-B44F-4E68-95BB-CF19BA07F908}"/>
            </c:ext>
          </c:extLst>
        </c:ser>
        <c:ser>
          <c:idx val="11"/>
          <c:order val="11"/>
          <c:tx>
            <c:strRef>
              <c:f>'C1'!$CAA$35</c:f>
              <c:strCache>
                <c:ptCount val="1"/>
                <c:pt idx="0">
                  <c:v>CO2berekening</c:v>
                </c:pt>
              </c:strCache>
            </c:strRef>
          </c:tx>
          <c:spPr>
            <a:solidFill>
              <a:srgbClr val="C00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'C1'!$CAB$35:$CAC$35</c:f>
              <c:numCache>
                <c:formatCode>0</c:formatCode>
                <c:ptCount val="2"/>
                <c:pt idx="0">
                  <c:v>#N/A</c:v>
                </c:pt>
                <c:pt idx="1">
                  <c:v>10</c:v>
                </c:pt>
              </c:numCache>
            </c:numRef>
          </c:val>
          <c:extLst>
            <c:ext xmlns:c16="http://schemas.microsoft.com/office/drawing/2014/chart" uri="{C3380CC4-5D6E-409C-BE32-E72D297353CC}">
              <c16:uniqueId val="{0000000B-B44F-4E68-95BB-CF19BA07F908}"/>
            </c:ext>
          </c:extLst>
        </c:ser>
        <c:ser>
          <c:idx val="12"/>
          <c:order val="12"/>
          <c:tx>
            <c:strRef>
              <c:f>'C1'!$CAA$36</c:f>
              <c:strCache>
                <c:ptCount val="1"/>
                <c:pt idx="0">
                  <c:v>bonus</c:v>
                </c:pt>
              </c:strCache>
            </c:strRef>
          </c:tx>
          <c:spPr>
            <a:pattFill prst="ltUpDiag">
              <a:fgClr>
                <a:schemeClr val="bg1">
                  <a:lumMod val="75000"/>
                </a:schemeClr>
              </a:fgClr>
              <a:bgClr>
                <a:schemeClr val="bg1"/>
              </a:bgClr>
            </a:patt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'C1'!$CAB$36:$CAC$36</c:f>
              <c:numCache>
                <c:formatCode>General</c:formatCode>
                <c:ptCount val="2"/>
                <c:pt idx="0" formatCode="0.0">
                  <c:v>0</c:v>
                </c:pt>
              </c:numCache>
            </c:numRef>
          </c:val>
          <c:extLst>
            <c:ext xmlns:c16="http://schemas.microsoft.com/office/drawing/2014/chart" uri="{C3380CC4-5D6E-409C-BE32-E72D297353CC}">
              <c16:uniqueId val="{0000000F-B44F-4E68-95BB-CF19BA07F908}"/>
            </c:ext>
          </c:extLst>
        </c:ser>
        <c:ser>
          <c:idx val="13"/>
          <c:order val="13"/>
          <c:tx>
            <c:strRef>
              <c:f>'C1'!$CAA$37</c:f>
              <c:strCache>
                <c:ptCount val="1"/>
                <c:pt idx="0">
                  <c:v>rest</c:v>
                </c:pt>
              </c:strCache>
            </c:strRef>
          </c:tx>
          <c:spPr>
            <a:blipFill>
              <a:blip xmlns:r="http://schemas.openxmlformats.org/officeDocument/2006/relationships" r:embed="rId3"/>
              <a:stretch>
                <a:fillRect/>
              </a:stretch>
            </a:blipFill>
            <a:ln>
              <a:noFill/>
            </a:ln>
            <a:effectLst/>
          </c:spPr>
          <c:invertIfNegative val="0"/>
          <c:dPt>
            <c:idx val="0"/>
            <c:invertIfNegative val="0"/>
            <c:bubble3D val="0"/>
            <c:spPr>
              <a:blipFill>
                <a:blip xmlns:r="http://schemas.openxmlformats.org/officeDocument/2006/relationships" r:embed="rId3"/>
                <a:stretch>
                  <a:fillRect/>
                </a:stretch>
              </a:blipFill>
              <a:ln>
                <a:noFill/>
              </a:ln>
              <a:effectLst/>
            </c:spPr>
            <c:extLst>
              <c:ext xmlns:c16="http://schemas.microsoft.com/office/drawing/2014/chart" uri="{C3380CC4-5D6E-409C-BE32-E72D297353CC}">
                <c16:uniqueId val="{00000001-D499-41D6-AA72-8F3061D3134C}"/>
              </c:ext>
            </c:extLst>
          </c:dPt>
          <c:dLbls>
            <c:dLbl>
              <c:idx val="1"/>
              <c:delete val="1"/>
              <c:extLst>
                <c:ext xmlns:c15="http://schemas.microsoft.com/office/drawing/2012/chart" uri="{CE6537A1-D6FC-4f65-9D91-7224C49458BB}"/>
                <c:ext xmlns:c16="http://schemas.microsoft.com/office/drawing/2014/chart" uri="{C3380CC4-5D6E-409C-BE32-E72D297353CC}">
                  <c16:uniqueId val="{00000002-D499-41D6-AA72-8F3061D3134C}"/>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8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'C1'!$CAB$23:$CAC$23</c:f>
              <c:strCache>
                <c:ptCount val="2"/>
                <c:pt idx="0">
                  <c:v>C1</c:v>
                </c:pt>
                <c:pt idx="1">
                  <c:v>max score</c:v>
                </c:pt>
              </c:strCache>
            </c:strRef>
          </c:cat>
          <c:val>
            <c:numRef>
              <c:f>'C1'!$CAB$37:$CAC$37</c:f>
              <c:numCache>
                <c:formatCode>0</c:formatCode>
                <c:ptCount val="2"/>
                <c:pt idx="0">
                  <c:v>#N/A</c:v>
                </c:pt>
                <c:pt idx="1">
                  <c:v>0</c:v>
                </c:pt>
              </c:numCache>
            </c:numRef>
          </c:val>
          <c:extLst>
            <c:ext xmlns:c16="http://schemas.microsoft.com/office/drawing/2014/chart" uri="{C3380CC4-5D6E-409C-BE32-E72D297353CC}">
              <c16:uniqueId val="{00000003-082B-4DDA-86EB-C058089FDD4A}"/>
            </c:ext>
          </c:extLst>
        </c:ser>
        <c:dLbls>
          <c:showLegendKey val="0"/>
          <c:showVal val="0"/>
          <c:showCatName val="0"/>
          <c:showSerName val="0"/>
          <c:showPercent val="0"/>
          <c:showBubbleSize val="0"/>
        </c:dLbls>
        <c:gapWidth val="100"/>
        <c:overlap val="100"/>
        <c:serLines>
          <c:spPr>
            <a:ln w="9525" cap="flat" cmpd="sng" algn="ctr">
              <a:solidFill>
                <a:schemeClr val="tx1">
                  <a:lumMod val="35000"/>
                  <a:lumOff val="65000"/>
                </a:schemeClr>
              </a:solidFill>
              <a:round/>
            </a:ln>
            <a:effectLst/>
          </c:spPr>
        </c:serLines>
        <c:axId val="689123072"/>
        <c:axId val="689115856"/>
      </c:barChart>
      <c:catAx>
        <c:axId val="689123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crossAx val="689115856"/>
        <c:crosses val="autoZero"/>
        <c:auto val="1"/>
        <c:lblAlgn val="ctr"/>
        <c:lblOffset val="100"/>
        <c:noMultiLvlLbl val="0"/>
      </c:catAx>
      <c:valAx>
        <c:axId val="689115856"/>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nl-NL" sz="1600" baseline="0"/>
                  <a:t> Circulair Peil Index   CPI  [-]</a:t>
                </a:r>
                <a:endParaRPr lang="nl-NL"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title>
        <c:numFmt formatCode="0" sourceLinked="1"/>
        <c:majorTickMark val="out"/>
        <c:minorTickMark val="none"/>
        <c:tickLblPos val="nextTo"/>
        <c:spPr>
          <a:noFill/>
          <a:ln>
            <a:solidFill>
              <a:schemeClr val="bg1"/>
            </a:solid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8912307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r>
              <a:rPr lang="nl-NL" sz="1600" b="1"/>
              <a:t>Procesmonitor Circulaire Peiler</a:t>
            </a:r>
          </a:p>
          <a:p>
            <a:pPr algn="l">
              <a:defRPr sz="1600" b="1"/>
            </a:pPr>
            <a:r>
              <a:rPr lang="nl-NL" sz="1600" b="1"/>
              <a:t>CPI :</a:t>
            </a:r>
            <a:r>
              <a:rPr lang="nl-NL" sz="1600" b="1" baseline="0"/>
              <a:t> D</a:t>
            </a:r>
            <a:r>
              <a:rPr lang="nl-NL" sz="1600" b="1"/>
              <a:t>e 8 circulaire ontwerpprincipes</a:t>
            </a:r>
          </a:p>
        </c:rich>
      </c:tx>
      <c:layout>
        <c:manualLayout>
          <c:xMode val="edge"/>
          <c:yMode val="edge"/>
          <c:x val="0.18955827682422982"/>
          <c:y val="1.3285023071706547E-2"/>
        </c:manualLayout>
      </c:layout>
      <c:overlay val="0"/>
      <c:spPr>
        <a:noFill/>
        <a:ln>
          <a:noFill/>
        </a:ln>
        <a:effectLst/>
      </c:spPr>
      <c:txPr>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21125280475587238"/>
          <c:y val="0.14728383294882977"/>
          <c:w val="0.28643798074136634"/>
          <c:h val="0.78337073762213927"/>
        </c:manualLayout>
      </c:layout>
      <c:barChart>
        <c:barDir val="col"/>
        <c:grouping val="stacked"/>
        <c:varyColors val="0"/>
        <c:ser>
          <c:idx val="0"/>
          <c:order val="0"/>
          <c:tx>
            <c:strRef>
              <c:f>'invoer Basis'!$BZI$54</c:f>
              <c:strCache>
                <c:ptCount val="1"/>
                <c:pt idx="0">
                  <c:v>Voorkómen: niet doen wat echt niet hoeft</c:v>
                </c:pt>
              </c:strCache>
            </c:strRef>
          </c:tx>
          <c:spPr>
            <a:solidFill>
              <a:schemeClr val="accent1"/>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Basis'!$BZJ$54</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0-B3EE-4C4D-BA39-A591C0959A25}"/>
            </c:ext>
          </c:extLst>
        </c:ser>
        <c:ser>
          <c:idx val="1"/>
          <c:order val="1"/>
          <c:tx>
            <c:strRef>
              <c:f>'invoer Basis'!$BZI$55</c:f>
              <c:strCache>
                <c:ptCount val="1"/>
                <c:pt idx="0">
                  <c:v>Verleng de levensduur van bestaande objecten of componenten</c:v>
                </c:pt>
              </c:strCache>
            </c:strRef>
          </c:tx>
          <c:spPr>
            <a:solidFill>
              <a:schemeClr val="accent2"/>
            </a:solidFill>
            <a:ln w="19050">
              <a:solidFill>
                <a:schemeClr val="lt1"/>
              </a:solidFill>
            </a:ln>
            <a:effectLst/>
          </c:spPr>
          <c:invertIfNegative val="0"/>
          <c:val>
            <c:numRef>
              <c:f>'invoer Basis'!$BZJ$55</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1-B3EE-4C4D-BA39-A591C0959A25}"/>
            </c:ext>
          </c:extLst>
        </c:ser>
        <c:ser>
          <c:idx val="2"/>
          <c:order val="2"/>
          <c:tx>
            <c:strRef>
              <c:f>'invoer Basis'!$BZI$56</c:f>
              <c:strCache>
                <c:ptCount val="1"/>
                <c:pt idx="0">
                  <c:v>Duurzaam gebruik van bestaande objecten, materialen, grondstoffen en natuurlijke processen</c:v>
                </c:pt>
              </c:strCache>
            </c:strRef>
          </c:tx>
          <c:spPr>
            <a:solidFill>
              <a:schemeClr val="accent3"/>
            </a:solidFill>
            <a:ln w="19050">
              <a:solidFill>
                <a:schemeClr val="lt1"/>
              </a:solidFill>
            </a:ln>
            <a:effectLst/>
          </c:spPr>
          <c:invertIfNegative val="0"/>
          <c:val>
            <c:numRef>
              <c:f>'invoer Basis'!$BZJ$56</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2-B3EE-4C4D-BA39-A591C0959A25}"/>
            </c:ext>
          </c:extLst>
        </c:ser>
        <c:ser>
          <c:idx val="3"/>
          <c:order val="3"/>
          <c:tx>
            <c:strRef>
              <c:f>'invoer Basis'!$BZI$57</c:f>
              <c:strCache>
                <c:ptCount val="1"/>
                <c:pt idx="0">
                  <c:v>Ontwerp voor meerdere levenscycli</c:v>
                </c:pt>
              </c:strCache>
            </c:strRef>
          </c:tx>
          <c:spPr>
            <a:solidFill>
              <a:schemeClr val="accent4"/>
            </a:solidFill>
            <a:ln w="19050">
              <a:solidFill>
                <a:schemeClr val="lt1"/>
              </a:solidFill>
            </a:ln>
            <a:effectLst/>
          </c:spPr>
          <c:invertIfNegative val="0"/>
          <c:val>
            <c:numRef>
              <c:f>'invoer Basis'!$BZJ$57</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3-B3EE-4C4D-BA39-A591C0959A25}"/>
            </c:ext>
          </c:extLst>
        </c:ser>
        <c:ser>
          <c:idx val="4"/>
          <c:order val="4"/>
          <c:tx>
            <c:strRef>
              <c:f>'invoer Basis'!$BZI$58</c:f>
              <c:strCache>
                <c:ptCount val="1"/>
                <c:pt idx="0">
                  <c:v>Ontwerp toekomstbestendig</c:v>
                </c:pt>
              </c:strCache>
            </c:strRef>
          </c:tx>
          <c:spPr>
            <a:solidFill>
              <a:schemeClr val="accent5"/>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Basis'!$BZJ$58</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4-B3EE-4C4D-BA39-A591C0959A25}"/>
            </c:ext>
          </c:extLst>
        </c:ser>
        <c:ser>
          <c:idx val="5"/>
          <c:order val="5"/>
          <c:tx>
            <c:strRef>
              <c:f>'invoer Basis'!$BZI$59</c:f>
              <c:strCache>
                <c:ptCount val="1"/>
                <c:pt idx="0">
                  <c:v>Ontwerp voor optimaal beheer en onderhoud </c:v>
                </c:pt>
              </c:strCache>
            </c:strRef>
          </c:tx>
          <c:spPr>
            <a:solidFill>
              <a:schemeClr val="accent6"/>
            </a:solidFill>
            <a:ln w="19050">
              <a:solidFill>
                <a:schemeClr val="lt1"/>
              </a:solidFill>
            </a:ln>
            <a:effectLst/>
          </c:spPr>
          <c:invertIfNegative val="0"/>
          <c:val>
            <c:numRef>
              <c:f>'invoer Basis'!$BZJ$59</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5-B3EE-4C4D-BA39-A591C0959A25}"/>
            </c:ext>
          </c:extLst>
        </c:ser>
        <c:ser>
          <c:idx val="6"/>
          <c:order val="6"/>
          <c:tx>
            <c:strRef>
              <c:f>'invoer Basis'!$BZI$60</c:f>
              <c:strCache>
                <c:ptCount val="1"/>
                <c:pt idx="0">
                  <c:v>Duurzaam materiaalgebruik (hoeveel x milieubelasting)</c:v>
                </c:pt>
              </c:strCache>
            </c:strRef>
          </c:tx>
          <c:spPr>
            <a:solidFill>
              <a:schemeClr val="accent1">
                <a:lumMod val="60000"/>
              </a:schemeClr>
            </a:solidFill>
            <a:ln w="19050">
              <a:solidFill>
                <a:schemeClr val="lt1"/>
              </a:solidFill>
            </a:ln>
            <a:effectLst/>
          </c:spPr>
          <c:invertIfNegative val="0"/>
          <c:val>
            <c:numRef>
              <c:f>'invoer Basis'!$BZJ$60</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6-B3EE-4C4D-BA39-A591C0959A25}"/>
            </c:ext>
          </c:extLst>
        </c:ser>
        <c:ser>
          <c:idx val="7"/>
          <c:order val="7"/>
          <c:tx>
            <c:strRef>
              <c:f>'invoer Basis'!$BZI$61</c:f>
              <c:strCache>
                <c:ptCount val="1"/>
                <c:pt idx="0">
                  <c:v>Ontwerp voor minimaal grondstof- en energiegebruik in de aanleg/gebruiksfase</c:v>
                </c:pt>
              </c:strCache>
            </c:strRef>
          </c:tx>
          <c:spPr>
            <a:solidFill>
              <a:schemeClr val="accent2">
                <a:lumMod val="60000"/>
              </a:schemeClr>
            </a:solidFill>
            <a:ln w="19050">
              <a:solidFill>
                <a:schemeClr val="lt1"/>
              </a:solidFill>
            </a:ln>
            <a:effectLst/>
          </c:spPr>
          <c:invertIfNegative val="0"/>
          <c:val>
            <c:numRef>
              <c:f>'invoer Basis'!$BZJ$61</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7-B3EE-4C4D-BA39-A591C0959A25}"/>
            </c:ext>
          </c:extLst>
        </c:ser>
        <c:ser>
          <c:idx val="8"/>
          <c:order val="8"/>
          <c:tx>
            <c:strRef>
              <c:f>'invoer Basis'!$BZI$62</c:f>
              <c:strCache>
                <c:ptCount val="1"/>
                <c:pt idx="0">
                  <c:v>Rest</c:v>
                </c:pt>
              </c:strCache>
            </c:strRef>
          </c:tx>
          <c:spPr>
            <a:solidFill>
              <a:schemeClr val="accent3">
                <a:lumMod val="60000"/>
              </a:schemeClr>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Basis'!$BZJ$62</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8-B3EE-4C4D-BA39-A591C0959A25}"/>
            </c:ext>
          </c:extLst>
        </c:ser>
        <c:dLbls>
          <c:showLegendKey val="0"/>
          <c:showVal val="0"/>
          <c:showCatName val="0"/>
          <c:showSerName val="0"/>
          <c:showPercent val="0"/>
          <c:showBubbleSize val="0"/>
        </c:dLbls>
        <c:gapWidth val="100"/>
        <c:overlap val="100"/>
        <c:axId val="620690952"/>
        <c:axId val="620694560"/>
      </c:barChart>
      <c:catAx>
        <c:axId val="6206909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crossAx val="620694560"/>
        <c:crosses val="autoZero"/>
        <c:auto val="1"/>
        <c:lblAlgn val="ctr"/>
        <c:lblOffset val="100"/>
        <c:noMultiLvlLbl val="0"/>
      </c:catAx>
      <c:valAx>
        <c:axId val="620694560"/>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r>
                  <a:rPr lang="nl-NL" sz="2400"/>
                  <a:t>Circulair Peil Index (CPI)  (max 100)</a:t>
                </a:r>
              </a:p>
            </c:rich>
          </c:tx>
          <c:overlay val="0"/>
          <c:spPr>
            <a:noFill/>
            <a:ln>
              <a:noFill/>
            </a:ln>
            <a:effectLst/>
          </c:spPr>
          <c:txPr>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endParaRPr lang="nl-NL"/>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20690952"/>
        <c:crosses val="autoZero"/>
        <c:crossBetween val="between"/>
        <c:majorUnit val="20"/>
      </c:valAx>
      <c:spPr>
        <a:gradFill>
          <a:gsLst>
            <a:gs pos="30000">
              <a:srgbClr val="FFFF00">
                <a:alpha val="50196"/>
              </a:srgbClr>
            </a:gs>
            <a:gs pos="20000">
              <a:srgbClr val="92D050">
                <a:alpha val="50196"/>
              </a:srgbClr>
            </a:gs>
            <a:gs pos="10000">
              <a:srgbClr val="00B050">
                <a:alpha val="50196"/>
              </a:srgbClr>
            </a:gs>
            <a:gs pos="40000">
              <a:srgbClr val="FFC000">
                <a:alpha val="50000"/>
              </a:srgbClr>
            </a:gs>
            <a:gs pos="5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nl-NL" sz="1800"/>
              <a:t>Referentiemonitor verbetering (reductie) Milieukosten / Circulariteit / CO2</a:t>
            </a:r>
          </a:p>
        </c:rich>
      </c:tx>
      <c:layout>
        <c:manualLayout>
          <c:xMode val="edge"/>
          <c:yMode val="edge"/>
          <c:x val="0.23003133202099738"/>
          <c:y val="2.7777880267646139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spPr>
            <a:solidFill>
              <a:schemeClr val="accent1"/>
            </a:solidFill>
            <a:ln>
              <a:solidFill>
                <a:srgbClr val="FFFFFF"/>
              </a:solidFill>
            </a:ln>
            <a:effectLst/>
          </c:spPr>
          <c:invertIfNegative val="0"/>
          <c:dPt>
            <c:idx val="0"/>
            <c:invertIfNegative val="0"/>
            <c:bubble3D val="0"/>
            <c:spPr>
              <a:solidFill>
                <a:srgbClr val="92D050"/>
              </a:solidFill>
              <a:ln>
                <a:solidFill>
                  <a:srgbClr val="FFFFFF"/>
                </a:solidFill>
              </a:ln>
              <a:effectLst/>
            </c:spPr>
            <c:extLst>
              <c:ext xmlns:c16="http://schemas.microsoft.com/office/drawing/2014/chart" uri="{C3380CC4-5D6E-409C-BE32-E72D297353CC}">
                <c16:uniqueId val="{00000001-7BA2-4396-B4A9-DE28EA72D0F8}"/>
              </c:ext>
            </c:extLst>
          </c:dPt>
          <c:dPt>
            <c:idx val="1"/>
            <c:invertIfNegative val="0"/>
            <c:bubble3D val="0"/>
            <c:spPr>
              <a:solidFill>
                <a:srgbClr val="00B0F0"/>
              </a:solidFill>
              <a:ln>
                <a:solidFill>
                  <a:srgbClr val="FFFFFF"/>
                </a:solidFill>
              </a:ln>
              <a:effectLst/>
            </c:spPr>
            <c:extLst>
              <c:ext xmlns:c16="http://schemas.microsoft.com/office/drawing/2014/chart" uri="{C3380CC4-5D6E-409C-BE32-E72D297353CC}">
                <c16:uniqueId val="{00000003-7BA2-4396-B4A9-DE28EA72D0F8}"/>
              </c:ext>
            </c:extLst>
          </c:dPt>
          <c:dPt>
            <c:idx val="2"/>
            <c:invertIfNegative val="0"/>
            <c:bubble3D val="0"/>
            <c:spPr>
              <a:solidFill>
                <a:srgbClr val="FF0000"/>
              </a:solidFill>
              <a:ln>
                <a:solidFill>
                  <a:srgbClr val="FFFFFF"/>
                </a:solidFill>
              </a:ln>
              <a:effectLst/>
            </c:spPr>
            <c:extLst>
              <c:ext xmlns:c16="http://schemas.microsoft.com/office/drawing/2014/chart" uri="{C3380CC4-5D6E-409C-BE32-E72D297353CC}">
                <c16:uniqueId val="{00000005-7BA2-4396-B4A9-DE28EA72D0F8}"/>
              </c:ext>
            </c:extLst>
          </c:dPt>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('C1'!$AN$67,'C1'!$AN$71,'C1'!$AN$75)</c:f>
              <c:strCache>
                <c:ptCount val="3"/>
                <c:pt idx="0">
                  <c:v>MKI reductie t.o.v. referentie € </c:v>
                </c:pt>
                <c:pt idx="1">
                  <c:v>MCI reductie t.o.v. referentie  [-]</c:v>
                </c:pt>
                <c:pt idx="2">
                  <c:v>CO2 reductie t.o.v. referentie  tonCO2</c:v>
                </c:pt>
              </c:strCache>
            </c:strRef>
          </c:cat>
          <c:val>
            <c:numRef>
              <c:f>('C1'!$AP$67,'C1'!$AP$71,'C1'!$AP$75)</c:f>
              <c:numCache>
                <c:formatCode>0%</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6-7BA2-4396-B4A9-DE28EA72D0F8}"/>
            </c:ext>
          </c:extLst>
        </c:ser>
        <c:ser>
          <c:idx val="1"/>
          <c:order val="1"/>
          <c:spPr>
            <a:solidFill>
              <a:srgbClr val="FFFFFF">
                <a:alpha val="30196"/>
              </a:srgbClr>
            </a:solidFill>
            <a:ln>
              <a:solidFill>
                <a:srgbClr val="FFFFFF">
                  <a:alpha val="0"/>
                </a:srgbClr>
              </a:solidFill>
            </a:ln>
            <a:effectLst/>
          </c:spPr>
          <c:invertIfNegative val="0"/>
          <c:cat>
            <c:strRef>
              <c:f>('invoer Basis'!$AN$67,'invoer Basis'!$AN$71,'invoer Basis'!$AN$75)</c:f>
              <c:strCache>
                <c:ptCount val="3"/>
                <c:pt idx="0">
                  <c:v>MKI reductie t.o.v. referentie € </c:v>
                </c:pt>
                <c:pt idx="1">
                  <c:v>MCI reductie t.o.v. referentie  [-]</c:v>
                </c:pt>
                <c:pt idx="2">
                  <c:v>CO2 reductie t.o.v. referentie  tonCO2</c:v>
                </c:pt>
              </c:strCache>
            </c:strRef>
          </c:cat>
          <c:val>
            <c:numRef>
              <c:f>('invoer Basis'!$AO$67,'invoer Basis'!$AO$71,'invoer Basis'!$AO$75)</c:f>
            </c:numRef>
          </c:val>
          <c:extLst xmlns:c15="http://schemas.microsoft.com/office/drawing/2012/chart">
            <c:ext xmlns:c16="http://schemas.microsoft.com/office/drawing/2014/chart" uri="{C3380CC4-5D6E-409C-BE32-E72D297353CC}">
              <c16:uniqueId val="{00000007-7BA2-4396-B4A9-DE28EA72D0F8}"/>
            </c:ext>
          </c:extLst>
        </c:ser>
        <c:dLbls>
          <c:showLegendKey val="0"/>
          <c:showVal val="0"/>
          <c:showCatName val="0"/>
          <c:showSerName val="0"/>
          <c:showPercent val="0"/>
          <c:showBubbleSize val="0"/>
        </c:dLbls>
        <c:gapWidth val="50"/>
        <c:overlap val="10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nl-NL" sz="1600" baseline="0"/>
                  <a:t> Reductie MKI / Circulariteit / CO2 [%]</a:t>
                </a:r>
                <a:endParaRPr lang="nl-NL"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gradFill>
          <a:gsLst>
            <a:gs pos="60000">
              <a:srgbClr val="FFFF00">
                <a:alpha val="50196"/>
              </a:srgbClr>
            </a:gs>
            <a:gs pos="29000">
              <a:srgbClr val="92D050">
                <a:alpha val="50196"/>
              </a:srgbClr>
            </a:gs>
            <a:gs pos="10000">
              <a:srgbClr val="00B050">
                <a:alpha val="50196"/>
              </a:srgbClr>
            </a:gs>
            <a:gs pos="70000">
              <a:srgbClr val="FFC000">
                <a:alpha val="50000"/>
              </a:srgbClr>
            </a:gs>
            <a:gs pos="8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r>
              <a:rPr lang="nl-NL" sz="1800" b="1"/>
              <a:t>Procesmonitor Circulaire Peiler (in detail)</a:t>
            </a:r>
          </a:p>
        </c:rich>
      </c:tx>
      <c:overlay val="0"/>
      <c:spPr>
        <a:noFill/>
        <a:ln>
          <a:noFill/>
        </a:ln>
        <a:effectLst/>
      </c:spPr>
      <c:txPr>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tx>
            <c:strRef>
              <c:f>'D1'!$CAA$24</c:f>
              <c:strCache>
                <c:ptCount val="1"/>
                <c:pt idx="0">
                  <c:v>verklein opgave</c:v>
                </c:pt>
              </c:strCache>
            </c:strRef>
          </c:tx>
          <c:spPr>
            <a:solidFill>
              <a:schemeClr val="tx2">
                <a:lumMod val="75000"/>
              </a:schemeClr>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'D1'!$CAB$24:$CAC$24</c:f>
              <c:numCache>
                <c:formatCode>0</c:formatCode>
                <c:ptCount val="2"/>
                <c:pt idx="0">
                  <c:v>#N/A</c:v>
                </c:pt>
                <c:pt idx="1">
                  <c:v>27</c:v>
                </c:pt>
              </c:numCache>
            </c:numRef>
          </c:val>
          <c:extLst>
            <c:ext xmlns:c16="http://schemas.microsoft.com/office/drawing/2014/chart" uri="{C3380CC4-5D6E-409C-BE32-E72D297353CC}">
              <c16:uniqueId val="{00000000-4777-4C73-B647-5F59DC7176E6}"/>
            </c:ext>
          </c:extLst>
        </c:ser>
        <c:ser>
          <c:idx val="1"/>
          <c:order val="1"/>
          <c:tx>
            <c:strRef>
              <c:f>'D1'!$CAA$25</c:f>
              <c:strCache>
                <c:ptCount val="1"/>
                <c:pt idx="0">
                  <c:v>levensduurverlenging</c:v>
                </c:pt>
              </c:strCache>
            </c:strRef>
          </c:tx>
          <c:spPr>
            <a:solidFill>
              <a:srgbClr val="FF0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'D1'!$CAB$25:$CAC$25</c:f>
              <c:numCache>
                <c:formatCode>0</c:formatCode>
                <c:ptCount val="2"/>
                <c:pt idx="0">
                  <c:v>#N/A</c:v>
                </c:pt>
                <c:pt idx="1">
                  <c:v>7.0000000000000009</c:v>
                </c:pt>
              </c:numCache>
            </c:numRef>
          </c:val>
          <c:extLst>
            <c:ext xmlns:c16="http://schemas.microsoft.com/office/drawing/2014/chart" uri="{C3380CC4-5D6E-409C-BE32-E72D297353CC}">
              <c16:uniqueId val="{00000001-4777-4C73-B647-5F59DC7176E6}"/>
            </c:ext>
          </c:extLst>
        </c:ser>
        <c:ser>
          <c:idx val="2"/>
          <c:order val="2"/>
          <c:tx>
            <c:strRef>
              <c:f>'D1'!$CAA$26</c:f>
              <c:strCache>
                <c:ptCount val="1"/>
                <c:pt idx="0">
                  <c:v>hergebruik</c:v>
                </c:pt>
              </c:strCache>
            </c:strRef>
          </c:tx>
          <c:spPr>
            <a:solidFill>
              <a:srgbClr val="00B05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'D1'!$CAB$26:$CAC$26</c:f>
              <c:numCache>
                <c:formatCode>0</c:formatCode>
                <c:ptCount val="2"/>
                <c:pt idx="0">
                  <c:v>#N/A</c:v>
                </c:pt>
                <c:pt idx="1">
                  <c:v>2.8000000000000003</c:v>
                </c:pt>
              </c:numCache>
            </c:numRef>
          </c:val>
          <c:extLst>
            <c:ext xmlns:c16="http://schemas.microsoft.com/office/drawing/2014/chart" uri="{C3380CC4-5D6E-409C-BE32-E72D297353CC}">
              <c16:uniqueId val="{00000002-4777-4C73-B647-5F59DC7176E6}"/>
            </c:ext>
          </c:extLst>
        </c:ser>
        <c:ser>
          <c:idx val="3"/>
          <c:order val="3"/>
          <c:tx>
            <c:strRef>
              <c:f>'D1'!$CAA$27</c:f>
              <c:strCache>
                <c:ptCount val="1"/>
                <c:pt idx="0">
                  <c:v>materialendatabank</c:v>
                </c:pt>
              </c:strCache>
            </c:strRef>
          </c:tx>
          <c:spPr>
            <a:solidFill>
              <a:srgbClr val="00FF99"/>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'D1'!$CAB$27:$CAC$27</c:f>
              <c:numCache>
                <c:formatCode>0</c:formatCode>
                <c:ptCount val="2"/>
                <c:pt idx="0">
                  <c:v>#N/A</c:v>
                </c:pt>
                <c:pt idx="1">
                  <c:v>2.8000000000000003</c:v>
                </c:pt>
              </c:numCache>
            </c:numRef>
          </c:val>
          <c:extLst>
            <c:ext xmlns:c16="http://schemas.microsoft.com/office/drawing/2014/chart" uri="{C3380CC4-5D6E-409C-BE32-E72D297353CC}">
              <c16:uniqueId val="{00000003-4777-4C73-B647-5F59DC7176E6}"/>
            </c:ext>
          </c:extLst>
        </c:ser>
        <c:ser>
          <c:idx val="4"/>
          <c:order val="4"/>
          <c:tx>
            <c:strRef>
              <c:f>'D1'!$CAA$28</c:f>
              <c:strCache>
                <c:ptCount val="1"/>
                <c:pt idx="0">
                  <c:v>natuurlijk proces</c:v>
                </c:pt>
              </c:strCache>
            </c:strRef>
          </c:tx>
          <c:spPr>
            <a:solidFill>
              <a:srgbClr val="CCFFCC"/>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'D1'!$CAB$28:$CAC$28</c:f>
              <c:numCache>
                <c:formatCode>0</c:formatCode>
                <c:ptCount val="2"/>
                <c:pt idx="0">
                  <c:v>#N/A</c:v>
                </c:pt>
                <c:pt idx="1">
                  <c:v>1.4000000000000001</c:v>
                </c:pt>
              </c:numCache>
            </c:numRef>
          </c:val>
          <c:extLst>
            <c:ext xmlns:c16="http://schemas.microsoft.com/office/drawing/2014/chart" uri="{C3380CC4-5D6E-409C-BE32-E72D297353CC}">
              <c16:uniqueId val="{00000004-4777-4C73-B647-5F59DC7176E6}"/>
            </c:ext>
          </c:extLst>
        </c:ser>
        <c:ser>
          <c:idx val="5"/>
          <c:order val="5"/>
          <c:tx>
            <c:strRef>
              <c:f>'D1'!$CAA$29</c:f>
              <c:strCache>
                <c:ptCount val="1"/>
                <c:pt idx="0">
                  <c:v>herbruikb.na afdank</c:v>
                </c:pt>
              </c:strCache>
            </c:strRef>
          </c:tx>
          <c:spPr>
            <a:solidFill>
              <a:srgbClr val="FFC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'D1'!$CAB$29:$CAC$29</c:f>
              <c:numCache>
                <c:formatCode>0</c:formatCode>
                <c:ptCount val="2"/>
                <c:pt idx="0">
                  <c:v>#N/A</c:v>
                </c:pt>
                <c:pt idx="1">
                  <c:v>6.3000000000000007</c:v>
                </c:pt>
              </c:numCache>
            </c:numRef>
          </c:val>
          <c:extLst>
            <c:ext xmlns:c16="http://schemas.microsoft.com/office/drawing/2014/chart" uri="{C3380CC4-5D6E-409C-BE32-E72D297353CC}">
              <c16:uniqueId val="{00000005-4777-4C73-B647-5F59DC7176E6}"/>
            </c:ext>
          </c:extLst>
        </c:ser>
        <c:ser>
          <c:idx val="6"/>
          <c:order val="6"/>
          <c:tx>
            <c:strRef>
              <c:f>'D1'!$CAA$30</c:f>
              <c:strCache>
                <c:ptCount val="1"/>
                <c:pt idx="0">
                  <c:v>materialenpaspoort</c:v>
                </c:pt>
              </c:strCache>
            </c:strRef>
          </c:tx>
          <c:spPr>
            <a:solidFill>
              <a:srgbClr val="FFFF66"/>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'D1'!$CAB$30:$CAC$30</c:f>
              <c:numCache>
                <c:formatCode>0</c:formatCode>
                <c:ptCount val="2"/>
                <c:pt idx="0">
                  <c:v>#N/A</c:v>
                </c:pt>
                <c:pt idx="1">
                  <c:v>0.70000000000000007</c:v>
                </c:pt>
              </c:numCache>
            </c:numRef>
          </c:val>
          <c:extLst>
            <c:ext xmlns:c16="http://schemas.microsoft.com/office/drawing/2014/chart" uri="{C3380CC4-5D6E-409C-BE32-E72D297353CC}">
              <c16:uniqueId val="{00000006-4777-4C73-B647-5F59DC7176E6}"/>
            </c:ext>
          </c:extLst>
        </c:ser>
        <c:ser>
          <c:idx val="7"/>
          <c:order val="7"/>
          <c:tx>
            <c:strRef>
              <c:f>'D1'!$CAA$31</c:f>
              <c:strCache>
                <c:ptCount val="1"/>
                <c:pt idx="0">
                  <c:v>toekomstgericht</c:v>
                </c:pt>
              </c:strCache>
            </c:strRef>
          </c:tx>
          <c:spPr>
            <a:solidFill>
              <a:srgbClr val="00206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'D1'!$CAB$31:$CAC$31</c:f>
              <c:numCache>
                <c:formatCode>0</c:formatCode>
                <c:ptCount val="2"/>
                <c:pt idx="0">
                  <c:v>#N/A</c:v>
                </c:pt>
                <c:pt idx="1">
                  <c:v>10</c:v>
                </c:pt>
              </c:numCache>
            </c:numRef>
          </c:val>
          <c:extLst>
            <c:ext xmlns:c16="http://schemas.microsoft.com/office/drawing/2014/chart" uri="{C3380CC4-5D6E-409C-BE32-E72D297353CC}">
              <c16:uniqueId val="{00000007-4777-4C73-B647-5F59DC7176E6}"/>
            </c:ext>
          </c:extLst>
        </c:ser>
        <c:ser>
          <c:idx val="8"/>
          <c:order val="8"/>
          <c:tx>
            <c:strRef>
              <c:f>'D1'!$CAA$32</c:f>
              <c:strCache>
                <c:ptCount val="1"/>
                <c:pt idx="0">
                  <c:v>beheer/onderhoud</c:v>
                </c:pt>
              </c:strCache>
            </c:strRef>
          </c:tx>
          <c:spPr>
            <a:solidFill>
              <a:srgbClr val="6666FF"/>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'D1'!$CAB$32:$CAC$32</c:f>
              <c:numCache>
                <c:formatCode>0</c:formatCode>
                <c:ptCount val="2"/>
                <c:pt idx="0">
                  <c:v>#N/A</c:v>
                </c:pt>
                <c:pt idx="1">
                  <c:v>7.0000000000000009</c:v>
                </c:pt>
              </c:numCache>
            </c:numRef>
          </c:val>
          <c:extLst>
            <c:ext xmlns:c16="http://schemas.microsoft.com/office/drawing/2014/chart" uri="{C3380CC4-5D6E-409C-BE32-E72D297353CC}">
              <c16:uniqueId val="{00000008-4777-4C73-B647-5F59DC7176E6}"/>
            </c:ext>
          </c:extLst>
        </c:ser>
        <c:ser>
          <c:idx val="9"/>
          <c:order val="9"/>
          <c:tx>
            <c:strRef>
              <c:f>'D1'!$CAA$33</c:f>
              <c:strCache>
                <c:ptCount val="1"/>
                <c:pt idx="0">
                  <c:v>MKIberekening</c:v>
                </c:pt>
              </c:strCache>
            </c:strRef>
          </c:tx>
          <c:spPr>
            <a:solidFill>
              <a:srgbClr val="FF6600">
                <a:alpha val="89804"/>
              </a:srgbClr>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0">
                <a:spAutoFit/>
              </a:bodyPr>
              <a:lstStyle/>
              <a:p>
                <a:pPr algn="ctr">
                  <a:defRPr lang="nl-NL"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'D1'!$CAB$33:$CAC$33</c:f>
              <c:numCache>
                <c:formatCode>0</c:formatCode>
                <c:ptCount val="2"/>
                <c:pt idx="0">
                  <c:v>#N/A</c:v>
                </c:pt>
                <c:pt idx="1">
                  <c:v>20</c:v>
                </c:pt>
              </c:numCache>
            </c:numRef>
          </c:val>
          <c:extLst>
            <c:ext xmlns:c16="http://schemas.microsoft.com/office/drawing/2014/chart" uri="{C3380CC4-5D6E-409C-BE32-E72D297353CC}">
              <c16:uniqueId val="{00000009-4777-4C73-B647-5F59DC7176E6}"/>
            </c:ext>
          </c:extLst>
        </c:ser>
        <c:ser>
          <c:idx val="10"/>
          <c:order val="10"/>
          <c:tx>
            <c:strRef>
              <c:f>'D1'!$CAA$34</c:f>
              <c:strCache>
                <c:ptCount val="1"/>
                <c:pt idx="0">
                  <c:v>CIberekening</c:v>
                </c:pt>
              </c:strCache>
            </c:strRef>
          </c:tx>
          <c:spPr>
            <a:solidFill>
              <a:srgbClr val="FF9966"/>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'D1'!$CAB$34:$CAC$34</c:f>
              <c:numCache>
                <c:formatCode>0</c:formatCode>
                <c:ptCount val="2"/>
                <c:pt idx="0">
                  <c:v>#N/A</c:v>
                </c:pt>
                <c:pt idx="1">
                  <c:v>4.9999999999999991</c:v>
                </c:pt>
              </c:numCache>
            </c:numRef>
          </c:val>
          <c:extLst>
            <c:ext xmlns:c16="http://schemas.microsoft.com/office/drawing/2014/chart" uri="{C3380CC4-5D6E-409C-BE32-E72D297353CC}">
              <c16:uniqueId val="{0000000A-4777-4C73-B647-5F59DC7176E6}"/>
            </c:ext>
          </c:extLst>
        </c:ser>
        <c:ser>
          <c:idx val="11"/>
          <c:order val="11"/>
          <c:tx>
            <c:strRef>
              <c:f>'D1'!$CAA$35</c:f>
              <c:strCache>
                <c:ptCount val="1"/>
                <c:pt idx="0">
                  <c:v>CO2berekening</c:v>
                </c:pt>
              </c:strCache>
            </c:strRef>
          </c:tx>
          <c:spPr>
            <a:solidFill>
              <a:srgbClr val="C00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'D1'!$CAB$35:$CAC$35</c:f>
              <c:numCache>
                <c:formatCode>0</c:formatCode>
                <c:ptCount val="2"/>
                <c:pt idx="0">
                  <c:v>#N/A</c:v>
                </c:pt>
                <c:pt idx="1">
                  <c:v>10</c:v>
                </c:pt>
              </c:numCache>
            </c:numRef>
          </c:val>
          <c:extLst>
            <c:ext xmlns:c16="http://schemas.microsoft.com/office/drawing/2014/chart" uri="{C3380CC4-5D6E-409C-BE32-E72D297353CC}">
              <c16:uniqueId val="{0000000B-4777-4C73-B647-5F59DC7176E6}"/>
            </c:ext>
          </c:extLst>
        </c:ser>
        <c:ser>
          <c:idx val="12"/>
          <c:order val="12"/>
          <c:tx>
            <c:strRef>
              <c:f>'D1'!$CAA$36</c:f>
              <c:strCache>
                <c:ptCount val="1"/>
                <c:pt idx="0">
                  <c:v>bonus</c:v>
                </c:pt>
              </c:strCache>
            </c:strRef>
          </c:tx>
          <c:spPr>
            <a:pattFill prst="ltUpDiag">
              <a:fgClr>
                <a:schemeClr val="bg1">
                  <a:lumMod val="75000"/>
                </a:schemeClr>
              </a:fgClr>
              <a:bgClr>
                <a:schemeClr val="bg1"/>
              </a:bgClr>
            </a:patt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'D1'!$CAB$36:$CAC$36</c:f>
              <c:numCache>
                <c:formatCode>General</c:formatCode>
                <c:ptCount val="2"/>
                <c:pt idx="0" formatCode="0.0">
                  <c:v>0</c:v>
                </c:pt>
              </c:numCache>
            </c:numRef>
          </c:val>
          <c:extLst>
            <c:ext xmlns:c16="http://schemas.microsoft.com/office/drawing/2014/chart" uri="{C3380CC4-5D6E-409C-BE32-E72D297353CC}">
              <c16:uniqueId val="{0000000F-4777-4C73-B647-5F59DC7176E6}"/>
            </c:ext>
          </c:extLst>
        </c:ser>
        <c:ser>
          <c:idx val="13"/>
          <c:order val="13"/>
          <c:tx>
            <c:strRef>
              <c:f>'D1'!$CAA$37</c:f>
              <c:strCache>
                <c:ptCount val="1"/>
                <c:pt idx="0">
                  <c:v>rest</c:v>
                </c:pt>
              </c:strCache>
            </c:strRef>
          </c:tx>
          <c:spPr>
            <a:blipFill>
              <a:blip xmlns:r="http://schemas.openxmlformats.org/officeDocument/2006/relationships" r:embed="rId3"/>
              <a:stretch>
                <a:fillRect/>
              </a:stretch>
            </a:blipFill>
            <a:ln>
              <a:noFill/>
            </a:ln>
            <a:effectLst/>
          </c:spPr>
          <c:invertIfNegative val="0"/>
          <c:dPt>
            <c:idx val="0"/>
            <c:invertIfNegative val="0"/>
            <c:bubble3D val="0"/>
            <c:spPr>
              <a:blipFill>
                <a:blip xmlns:r="http://schemas.openxmlformats.org/officeDocument/2006/relationships" r:embed="rId3"/>
                <a:stretch>
                  <a:fillRect/>
                </a:stretch>
              </a:blipFill>
              <a:ln>
                <a:noFill/>
              </a:ln>
              <a:effectLst/>
            </c:spPr>
            <c:extLst>
              <c:ext xmlns:c16="http://schemas.microsoft.com/office/drawing/2014/chart" uri="{C3380CC4-5D6E-409C-BE32-E72D297353CC}">
                <c16:uniqueId val="{00000001-CE82-420B-AC3A-7E2D41038940}"/>
              </c:ext>
            </c:extLst>
          </c:dPt>
          <c:dLbls>
            <c:dLbl>
              <c:idx val="1"/>
              <c:delete val="1"/>
              <c:extLst>
                <c:ext xmlns:c15="http://schemas.microsoft.com/office/drawing/2012/chart" uri="{CE6537A1-D6FC-4f65-9D91-7224C49458BB}"/>
                <c:ext xmlns:c16="http://schemas.microsoft.com/office/drawing/2014/chart" uri="{C3380CC4-5D6E-409C-BE32-E72D297353CC}">
                  <c16:uniqueId val="{00000002-CE82-420B-AC3A-7E2D41038940}"/>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8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'D1'!$CAB$37:$CAC$37</c:f>
              <c:numCache>
                <c:formatCode>0</c:formatCode>
                <c:ptCount val="2"/>
                <c:pt idx="0">
                  <c:v>#N/A</c:v>
                </c:pt>
                <c:pt idx="1">
                  <c:v>0</c:v>
                </c:pt>
              </c:numCache>
            </c:numRef>
          </c:val>
          <c:extLst>
            <c:ext xmlns:c16="http://schemas.microsoft.com/office/drawing/2014/chart" uri="{C3380CC4-5D6E-409C-BE32-E72D297353CC}">
              <c16:uniqueId val="{00000003-AD95-4071-8A02-111D0FF80B10}"/>
            </c:ext>
          </c:extLst>
        </c:ser>
        <c:dLbls>
          <c:showLegendKey val="0"/>
          <c:showVal val="0"/>
          <c:showCatName val="0"/>
          <c:showSerName val="0"/>
          <c:showPercent val="0"/>
          <c:showBubbleSize val="0"/>
        </c:dLbls>
        <c:gapWidth val="100"/>
        <c:overlap val="100"/>
        <c:serLines>
          <c:spPr>
            <a:ln w="9525" cap="flat" cmpd="sng" algn="ctr">
              <a:solidFill>
                <a:schemeClr val="tx1">
                  <a:lumMod val="35000"/>
                  <a:lumOff val="65000"/>
                </a:schemeClr>
              </a:solidFill>
              <a:round/>
            </a:ln>
            <a:effectLst/>
          </c:spPr>
        </c:serLines>
        <c:axId val="689123072"/>
        <c:axId val="689115856"/>
      </c:barChart>
      <c:catAx>
        <c:axId val="689123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crossAx val="689115856"/>
        <c:crosses val="autoZero"/>
        <c:auto val="1"/>
        <c:lblAlgn val="ctr"/>
        <c:lblOffset val="100"/>
        <c:noMultiLvlLbl val="0"/>
      </c:catAx>
      <c:valAx>
        <c:axId val="689115856"/>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nl-NL" sz="1600" baseline="0"/>
                  <a:t> Circulair Peil Index   CPI  [-]</a:t>
                </a:r>
                <a:endParaRPr lang="nl-NL"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title>
        <c:numFmt formatCode="0" sourceLinked="1"/>
        <c:majorTickMark val="out"/>
        <c:minorTickMark val="none"/>
        <c:tickLblPos val="nextTo"/>
        <c:spPr>
          <a:noFill/>
          <a:ln>
            <a:solidFill>
              <a:schemeClr val="bg1"/>
            </a:solid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8912307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r>
              <a:rPr lang="nl-NL" sz="1600" b="1"/>
              <a:t>Procesmonitor Circulaire Peiler</a:t>
            </a:r>
          </a:p>
          <a:p>
            <a:pPr algn="l">
              <a:defRPr sz="1600" b="1"/>
            </a:pPr>
            <a:r>
              <a:rPr lang="nl-NL" sz="1600" b="1"/>
              <a:t>CPI :</a:t>
            </a:r>
            <a:r>
              <a:rPr lang="nl-NL" sz="1600" b="1" baseline="0"/>
              <a:t> D</a:t>
            </a:r>
            <a:r>
              <a:rPr lang="nl-NL" sz="1600" b="1"/>
              <a:t>e 8 circulaire ontwerpprincipes</a:t>
            </a:r>
          </a:p>
        </c:rich>
      </c:tx>
      <c:layout>
        <c:manualLayout>
          <c:xMode val="edge"/>
          <c:yMode val="edge"/>
          <c:x val="0.18955827682422982"/>
          <c:y val="1.3285023071706547E-2"/>
        </c:manualLayout>
      </c:layout>
      <c:overlay val="0"/>
      <c:spPr>
        <a:noFill/>
        <a:ln>
          <a:noFill/>
        </a:ln>
        <a:effectLst/>
      </c:spPr>
      <c:txPr>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21125280475587238"/>
          <c:y val="0.14728383294882977"/>
          <c:w val="0.28643798074136634"/>
          <c:h val="0.78337073762213927"/>
        </c:manualLayout>
      </c:layout>
      <c:barChart>
        <c:barDir val="col"/>
        <c:grouping val="stacked"/>
        <c:varyColors val="0"/>
        <c:ser>
          <c:idx val="0"/>
          <c:order val="0"/>
          <c:tx>
            <c:strRef>
              <c:f>'invoer Basis'!$BZI$54</c:f>
              <c:strCache>
                <c:ptCount val="1"/>
                <c:pt idx="0">
                  <c:v>Voorkómen: niet doen wat echt niet hoeft</c:v>
                </c:pt>
              </c:strCache>
            </c:strRef>
          </c:tx>
          <c:spPr>
            <a:solidFill>
              <a:schemeClr val="accent1"/>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Basis'!$BZJ$54</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0-FC1B-4BC0-AE32-2FF99CF6C7B8}"/>
            </c:ext>
          </c:extLst>
        </c:ser>
        <c:ser>
          <c:idx val="1"/>
          <c:order val="1"/>
          <c:tx>
            <c:strRef>
              <c:f>'invoer Basis'!$BZI$55</c:f>
              <c:strCache>
                <c:ptCount val="1"/>
                <c:pt idx="0">
                  <c:v>Verleng de levensduur van bestaande objecten of componenten</c:v>
                </c:pt>
              </c:strCache>
            </c:strRef>
          </c:tx>
          <c:spPr>
            <a:solidFill>
              <a:schemeClr val="accent2"/>
            </a:solidFill>
            <a:ln w="19050">
              <a:solidFill>
                <a:schemeClr val="lt1"/>
              </a:solidFill>
            </a:ln>
            <a:effectLst/>
          </c:spPr>
          <c:invertIfNegative val="0"/>
          <c:val>
            <c:numRef>
              <c:f>'invoer Basis'!$BZJ$55</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1-FC1B-4BC0-AE32-2FF99CF6C7B8}"/>
            </c:ext>
          </c:extLst>
        </c:ser>
        <c:ser>
          <c:idx val="2"/>
          <c:order val="2"/>
          <c:tx>
            <c:strRef>
              <c:f>'invoer Basis'!$BZI$56</c:f>
              <c:strCache>
                <c:ptCount val="1"/>
                <c:pt idx="0">
                  <c:v>Duurzaam gebruik van bestaande objecten, materialen, grondstoffen en natuurlijke processen</c:v>
                </c:pt>
              </c:strCache>
            </c:strRef>
          </c:tx>
          <c:spPr>
            <a:solidFill>
              <a:schemeClr val="accent3"/>
            </a:solidFill>
            <a:ln w="19050">
              <a:solidFill>
                <a:schemeClr val="lt1"/>
              </a:solidFill>
            </a:ln>
            <a:effectLst/>
          </c:spPr>
          <c:invertIfNegative val="0"/>
          <c:val>
            <c:numRef>
              <c:f>'invoer Basis'!$BZJ$56</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2-FC1B-4BC0-AE32-2FF99CF6C7B8}"/>
            </c:ext>
          </c:extLst>
        </c:ser>
        <c:ser>
          <c:idx val="3"/>
          <c:order val="3"/>
          <c:tx>
            <c:strRef>
              <c:f>'invoer Basis'!$BZI$57</c:f>
              <c:strCache>
                <c:ptCount val="1"/>
                <c:pt idx="0">
                  <c:v>Ontwerp voor meerdere levenscycli</c:v>
                </c:pt>
              </c:strCache>
            </c:strRef>
          </c:tx>
          <c:spPr>
            <a:solidFill>
              <a:schemeClr val="accent4"/>
            </a:solidFill>
            <a:ln w="19050">
              <a:solidFill>
                <a:schemeClr val="lt1"/>
              </a:solidFill>
            </a:ln>
            <a:effectLst/>
          </c:spPr>
          <c:invertIfNegative val="0"/>
          <c:val>
            <c:numRef>
              <c:f>'invoer Basis'!$BZJ$57</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3-FC1B-4BC0-AE32-2FF99CF6C7B8}"/>
            </c:ext>
          </c:extLst>
        </c:ser>
        <c:ser>
          <c:idx val="4"/>
          <c:order val="4"/>
          <c:tx>
            <c:strRef>
              <c:f>'invoer Basis'!$BZI$58</c:f>
              <c:strCache>
                <c:ptCount val="1"/>
                <c:pt idx="0">
                  <c:v>Ontwerp toekomstbestendig</c:v>
                </c:pt>
              </c:strCache>
            </c:strRef>
          </c:tx>
          <c:spPr>
            <a:solidFill>
              <a:schemeClr val="accent5"/>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Basis'!$BZJ$58</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4-FC1B-4BC0-AE32-2FF99CF6C7B8}"/>
            </c:ext>
          </c:extLst>
        </c:ser>
        <c:ser>
          <c:idx val="5"/>
          <c:order val="5"/>
          <c:tx>
            <c:strRef>
              <c:f>'invoer Basis'!$BZI$59</c:f>
              <c:strCache>
                <c:ptCount val="1"/>
                <c:pt idx="0">
                  <c:v>Ontwerp voor optimaal beheer en onderhoud </c:v>
                </c:pt>
              </c:strCache>
            </c:strRef>
          </c:tx>
          <c:spPr>
            <a:solidFill>
              <a:schemeClr val="accent6"/>
            </a:solidFill>
            <a:ln w="19050">
              <a:solidFill>
                <a:schemeClr val="lt1"/>
              </a:solidFill>
            </a:ln>
            <a:effectLst/>
          </c:spPr>
          <c:invertIfNegative val="0"/>
          <c:val>
            <c:numRef>
              <c:f>'invoer Basis'!$BZJ$59</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5-FC1B-4BC0-AE32-2FF99CF6C7B8}"/>
            </c:ext>
          </c:extLst>
        </c:ser>
        <c:ser>
          <c:idx val="6"/>
          <c:order val="6"/>
          <c:tx>
            <c:strRef>
              <c:f>'invoer Basis'!$BZI$60</c:f>
              <c:strCache>
                <c:ptCount val="1"/>
                <c:pt idx="0">
                  <c:v>Duurzaam materiaalgebruik (hoeveel x milieubelasting)</c:v>
                </c:pt>
              </c:strCache>
            </c:strRef>
          </c:tx>
          <c:spPr>
            <a:solidFill>
              <a:schemeClr val="accent1">
                <a:lumMod val="60000"/>
              </a:schemeClr>
            </a:solidFill>
            <a:ln w="19050">
              <a:solidFill>
                <a:schemeClr val="lt1"/>
              </a:solidFill>
            </a:ln>
            <a:effectLst/>
          </c:spPr>
          <c:invertIfNegative val="0"/>
          <c:val>
            <c:numRef>
              <c:f>'invoer Basis'!$BZJ$60</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6-FC1B-4BC0-AE32-2FF99CF6C7B8}"/>
            </c:ext>
          </c:extLst>
        </c:ser>
        <c:ser>
          <c:idx val="7"/>
          <c:order val="7"/>
          <c:tx>
            <c:strRef>
              <c:f>'invoer Basis'!$BZI$61</c:f>
              <c:strCache>
                <c:ptCount val="1"/>
                <c:pt idx="0">
                  <c:v>Ontwerp voor minimaal grondstof- en energiegebruik in de aanleg/gebruiksfase</c:v>
                </c:pt>
              </c:strCache>
            </c:strRef>
          </c:tx>
          <c:spPr>
            <a:solidFill>
              <a:schemeClr val="accent2">
                <a:lumMod val="60000"/>
              </a:schemeClr>
            </a:solidFill>
            <a:ln w="19050">
              <a:solidFill>
                <a:schemeClr val="lt1"/>
              </a:solidFill>
            </a:ln>
            <a:effectLst/>
          </c:spPr>
          <c:invertIfNegative val="0"/>
          <c:val>
            <c:numRef>
              <c:f>'invoer Basis'!$BZJ$61</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7-FC1B-4BC0-AE32-2FF99CF6C7B8}"/>
            </c:ext>
          </c:extLst>
        </c:ser>
        <c:ser>
          <c:idx val="8"/>
          <c:order val="8"/>
          <c:tx>
            <c:strRef>
              <c:f>'invoer Basis'!$BZI$62</c:f>
              <c:strCache>
                <c:ptCount val="1"/>
                <c:pt idx="0">
                  <c:v>Rest</c:v>
                </c:pt>
              </c:strCache>
            </c:strRef>
          </c:tx>
          <c:spPr>
            <a:solidFill>
              <a:schemeClr val="accent3">
                <a:lumMod val="60000"/>
              </a:schemeClr>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Basis'!$BZJ$62</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8-FC1B-4BC0-AE32-2FF99CF6C7B8}"/>
            </c:ext>
          </c:extLst>
        </c:ser>
        <c:dLbls>
          <c:showLegendKey val="0"/>
          <c:showVal val="0"/>
          <c:showCatName val="0"/>
          <c:showSerName val="0"/>
          <c:showPercent val="0"/>
          <c:showBubbleSize val="0"/>
        </c:dLbls>
        <c:gapWidth val="100"/>
        <c:overlap val="100"/>
        <c:axId val="620690952"/>
        <c:axId val="620694560"/>
      </c:barChart>
      <c:catAx>
        <c:axId val="6206909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crossAx val="620694560"/>
        <c:crosses val="autoZero"/>
        <c:auto val="1"/>
        <c:lblAlgn val="ctr"/>
        <c:lblOffset val="100"/>
        <c:noMultiLvlLbl val="0"/>
      </c:catAx>
      <c:valAx>
        <c:axId val="620694560"/>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r>
                  <a:rPr lang="nl-NL" sz="2400"/>
                  <a:t>Circulair Peil Index (CPI)  (max 100)</a:t>
                </a:r>
              </a:p>
            </c:rich>
          </c:tx>
          <c:overlay val="0"/>
          <c:spPr>
            <a:noFill/>
            <a:ln>
              <a:noFill/>
            </a:ln>
            <a:effectLst/>
          </c:spPr>
          <c:txPr>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endParaRPr lang="nl-NL"/>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20690952"/>
        <c:crosses val="autoZero"/>
        <c:crossBetween val="between"/>
        <c:majorUnit val="20"/>
      </c:valAx>
      <c:spPr>
        <a:gradFill>
          <a:gsLst>
            <a:gs pos="30000">
              <a:srgbClr val="FFFF00">
                <a:alpha val="50196"/>
              </a:srgbClr>
            </a:gs>
            <a:gs pos="20000">
              <a:srgbClr val="92D050">
                <a:alpha val="50196"/>
              </a:srgbClr>
            </a:gs>
            <a:gs pos="10000">
              <a:srgbClr val="00B050">
                <a:alpha val="50196"/>
              </a:srgbClr>
            </a:gs>
            <a:gs pos="40000">
              <a:srgbClr val="FFC000">
                <a:alpha val="50000"/>
              </a:srgbClr>
            </a:gs>
            <a:gs pos="5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nl-NL" sz="1800"/>
              <a:t>Referentiemonitor verbetering (reductie) Milieukosten / Circulariteit / CO2</a:t>
            </a:r>
          </a:p>
        </c:rich>
      </c:tx>
      <c:layout>
        <c:manualLayout>
          <c:xMode val="edge"/>
          <c:yMode val="edge"/>
          <c:x val="0.23003133202099738"/>
          <c:y val="2.7777880267646139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spPr>
            <a:solidFill>
              <a:schemeClr val="accent1"/>
            </a:solidFill>
            <a:ln>
              <a:solidFill>
                <a:srgbClr val="FFFFFF"/>
              </a:solidFill>
            </a:ln>
            <a:effectLst/>
          </c:spPr>
          <c:invertIfNegative val="0"/>
          <c:dPt>
            <c:idx val="0"/>
            <c:invertIfNegative val="0"/>
            <c:bubble3D val="0"/>
            <c:spPr>
              <a:solidFill>
                <a:srgbClr val="92D050"/>
              </a:solidFill>
              <a:ln>
                <a:solidFill>
                  <a:srgbClr val="FFFFFF"/>
                </a:solidFill>
              </a:ln>
              <a:effectLst/>
            </c:spPr>
            <c:extLst>
              <c:ext xmlns:c16="http://schemas.microsoft.com/office/drawing/2014/chart" uri="{C3380CC4-5D6E-409C-BE32-E72D297353CC}">
                <c16:uniqueId val="{00000001-6CDA-4516-A43C-55D4E00305D2}"/>
              </c:ext>
            </c:extLst>
          </c:dPt>
          <c:dPt>
            <c:idx val="1"/>
            <c:invertIfNegative val="0"/>
            <c:bubble3D val="0"/>
            <c:spPr>
              <a:solidFill>
                <a:srgbClr val="00B0F0"/>
              </a:solidFill>
              <a:ln>
                <a:solidFill>
                  <a:srgbClr val="FFFFFF"/>
                </a:solidFill>
              </a:ln>
              <a:effectLst/>
            </c:spPr>
            <c:extLst>
              <c:ext xmlns:c16="http://schemas.microsoft.com/office/drawing/2014/chart" uri="{C3380CC4-5D6E-409C-BE32-E72D297353CC}">
                <c16:uniqueId val="{00000003-6CDA-4516-A43C-55D4E00305D2}"/>
              </c:ext>
            </c:extLst>
          </c:dPt>
          <c:dPt>
            <c:idx val="2"/>
            <c:invertIfNegative val="0"/>
            <c:bubble3D val="0"/>
            <c:spPr>
              <a:solidFill>
                <a:srgbClr val="FF0000"/>
              </a:solidFill>
              <a:ln>
                <a:solidFill>
                  <a:srgbClr val="FFFFFF"/>
                </a:solidFill>
              </a:ln>
              <a:effectLst/>
            </c:spPr>
            <c:extLst>
              <c:ext xmlns:c16="http://schemas.microsoft.com/office/drawing/2014/chart" uri="{C3380CC4-5D6E-409C-BE32-E72D297353CC}">
                <c16:uniqueId val="{00000005-6CDA-4516-A43C-55D4E00305D2}"/>
              </c:ext>
            </c:extLst>
          </c:dPt>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('D1'!$AN$67,'D1'!$AN$71,'D1'!$AN$75)</c:f>
              <c:strCache>
                <c:ptCount val="3"/>
                <c:pt idx="0">
                  <c:v>MKI reductie t.o.v. referentie € </c:v>
                </c:pt>
                <c:pt idx="1">
                  <c:v>MCI reductie t.o.v. referentie  [-]</c:v>
                </c:pt>
                <c:pt idx="2">
                  <c:v>CO2 reductie t.o.v. referentie  tonCO2</c:v>
                </c:pt>
              </c:strCache>
            </c:strRef>
          </c:cat>
          <c:val>
            <c:numRef>
              <c:f>('D1'!$AP$67,'D1'!$AP$71,'D1'!$AP$75)</c:f>
              <c:numCache>
                <c:formatCode>0%</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6-6CDA-4516-A43C-55D4E00305D2}"/>
            </c:ext>
          </c:extLst>
        </c:ser>
        <c:ser>
          <c:idx val="1"/>
          <c:order val="1"/>
          <c:spPr>
            <a:solidFill>
              <a:srgbClr val="FFFFFF">
                <a:alpha val="30196"/>
              </a:srgbClr>
            </a:solidFill>
            <a:ln>
              <a:solidFill>
                <a:srgbClr val="FFFFFF">
                  <a:alpha val="0"/>
                </a:srgbClr>
              </a:solidFill>
            </a:ln>
            <a:effectLst/>
          </c:spPr>
          <c:invertIfNegative val="0"/>
          <c:cat>
            <c:strRef>
              <c:f>('invoer Basis'!$AN$67,'invoer Basis'!$AN$71,'invoer Basis'!$AN$75)</c:f>
              <c:strCache>
                <c:ptCount val="3"/>
                <c:pt idx="0">
                  <c:v>MKI reductie t.o.v. referentie € </c:v>
                </c:pt>
                <c:pt idx="1">
                  <c:v>MCI reductie t.o.v. referentie  [-]</c:v>
                </c:pt>
                <c:pt idx="2">
                  <c:v>CO2 reductie t.o.v. referentie  tonCO2</c:v>
                </c:pt>
              </c:strCache>
            </c:strRef>
          </c:cat>
          <c:val>
            <c:numRef>
              <c:f>('invoer Basis'!$AO$67,'invoer Basis'!$AO$71,'invoer Basis'!$AO$75)</c:f>
            </c:numRef>
          </c:val>
          <c:extLst xmlns:c15="http://schemas.microsoft.com/office/drawing/2012/chart">
            <c:ext xmlns:c16="http://schemas.microsoft.com/office/drawing/2014/chart" uri="{C3380CC4-5D6E-409C-BE32-E72D297353CC}">
              <c16:uniqueId val="{00000007-6CDA-4516-A43C-55D4E00305D2}"/>
            </c:ext>
          </c:extLst>
        </c:ser>
        <c:dLbls>
          <c:showLegendKey val="0"/>
          <c:showVal val="0"/>
          <c:showCatName val="0"/>
          <c:showSerName val="0"/>
          <c:showPercent val="0"/>
          <c:showBubbleSize val="0"/>
        </c:dLbls>
        <c:gapWidth val="50"/>
        <c:overlap val="10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nl-NL" sz="1600" baseline="0"/>
                  <a:t> Reductie MKI / Circulariteit / CO2 [%]</a:t>
                </a:r>
                <a:endParaRPr lang="nl-NL"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gradFill>
          <a:gsLst>
            <a:gs pos="60000">
              <a:srgbClr val="FFFF00">
                <a:alpha val="50196"/>
              </a:srgbClr>
            </a:gs>
            <a:gs pos="29000">
              <a:srgbClr val="92D050">
                <a:alpha val="50196"/>
              </a:srgbClr>
            </a:gs>
            <a:gs pos="10000">
              <a:srgbClr val="00B050">
                <a:alpha val="50196"/>
              </a:srgbClr>
            </a:gs>
            <a:gs pos="70000">
              <a:srgbClr val="FFC000">
                <a:alpha val="50000"/>
              </a:srgbClr>
            </a:gs>
            <a:gs pos="8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r>
              <a:rPr lang="nl-NL" sz="1800" b="1"/>
              <a:t>Procesmonitor Circulaire Peiler (in detail)</a:t>
            </a:r>
          </a:p>
        </c:rich>
      </c:tx>
      <c:overlay val="0"/>
      <c:spPr>
        <a:noFill/>
        <a:ln>
          <a:noFill/>
        </a:ln>
        <a:effectLst/>
      </c:spPr>
      <c:txPr>
        <a:bodyPr rot="0" spcFirstLastPara="1" vertOverflow="ellipsis" vert="horz" wrap="square" anchor="ctr" anchorCtr="1"/>
        <a:lstStyle/>
        <a:p>
          <a:pPr>
            <a:defRPr sz="18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tx>
            <c:strRef>
              <c:f>'D1'!$CAA$24</c:f>
              <c:strCache>
                <c:ptCount val="1"/>
                <c:pt idx="0">
                  <c:v>verklein opgave</c:v>
                </c:pt>
              </c:strCache>
            </c:strRef>
          </c:tx>
          <c:spPr>
            <a:solidFill>
              <a:schemeClr val="tx2">
                <a:lumMod val="75000"/>
              </a:schemeClr>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'D1'!$CAB$24:$CAC$24</c:f>
              <c:numCache>
                <c:formatCode>0</c:formatCode>
                <c:ptCount val="2"/>
                <c:pt idx="0">
                  <c:v>#N/A</c:v>
                </c:pt>
                <c:pt idx="1">
                  <c:v>27</c:v>
                </c:pt>
              </c:numCache>
            </c:numRef>
          </c:val>
          <c:extLst>
            <c:ext xmlns:c16="http://schemas.microsoft.com/office/drawing/2014/chart" uri="{C3380CC4-5D6E-409C-BE32-E72D297353CC}">
              <c16:uniqueId val="{00000000-B483-4F06-ABDD-03B0CD1AA54C}"/>
            </c:ext>
          </c:extLst>
        </c:ser>
        <c:ser>
          <c:idx val="1"/>
          <c:order val="1"/>
          <c:tx>
            <c:strRef>
              <c:f>'D1'!$CAA$25</c:f>
              <c:strCache>
                <c:ptCount val="1"/>
                <c:pt idx="0">
                  <c:v>levensduurverlenging</c:v>
                </c:pt>
              </c:strCache>
            </c:strRef>
          </c:tx>
          <c:spPr>
            <a:solidFill>
              <a:srgbClr val="FF0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'D1'!$CAB$25:$CAC$25</c:f>
              <c:numCache>
                <c:formatCode>0</c:formatCode>
                <c:ptCount val="2"/>
                <c:pt idx="0">
                  <c:v>#N/A</c:v>
                </c:pt>
                <c:pt idx="1">
                  <c:v>7.0000000000000009</c:v>
                </c:pt>
              </c:numCache>
            </c:numRef>
          </c:val>
          <c:extLst>
            <c:ext xmlns:c16="http://schemas.microsoft.com/office/drawing/2014/chart" uri="{C3380CC4-5D6E-409C-BE32-E72D297353CC}">
              <c16:uniqueId val="{00000001-B483-4F06-ABDD-03B0CD1AA54C}"/>
            </c:ext>
          </c:extLst>
        </c:ser>
        <c:ser>
          <c:idx val="2"/>
          <c:order val="2"/>
          <c:tx>
            <c:strRef>
              <c:f>'D1'!$CAA$26</c:f>
              <c:strCache>
                <c:ptCount val="1"/>
                <c:pt idx="0">
                  <c:v>hergebruik</c:v>
                </c:pt>
              </c:strCache>
            </c:strRef>
          </c:tx>
          <c:spPr>
            <a:solidFill>
              <a:srgbClr val="00B05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'D1'!$CAB$26:$CAC$26</c:f>
              <c:numCache>
                <c:formatCode>0</c:formatCode>
                <c:ptCount val="2"/>
                <c:pt idx="0">
                  <c:v>#N/A</c:v>
                </c:pt>
                <c:pt idx="1">
                  <c:v>2.8000000000000003</c:v>
                </c:pt>
              </c:numCache>
            </c:numRef>
          </c:val>
          <c:extLst>
            <c:ext xmlns:c16="http://schemas.microsoft.com/office/drawing/2014/chart" uri="{C3380CC4-5D6E-409C-BE32-E72D297353CC}">
              <c16:uniqueId val="{00000002-B483-4F06-ABDD-03B0CD1AA54C}"/>
            </c:ext>
          </c:extLst>
        </c:ser>
        <c:ser>
          <c:idx val="3"/>
          <c:order val="3"/>
          <c:tx>
            <c:strRef>
              <c:f>'D1'!$CAA$27</c:f>
              <c:strCache>
                <c:ptCount val="1"/>
                <c:pt idx="0">
                  <c:v>materialendatabank</c:v>
                </c:pt>
              </c:strCache>
            </c:strRef>
          </c:tx>
          <c:spPr>
            <a:solidFill>
              <a:srgbClr val="00FF99"/>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'D1'!$CAB$27:$CAC$27</c:f>
              <c:numCache>
                <c:formatCode>0</c:formatCode>
                <c:ptCount val="2"/>
                <c:pt idx="0">
                  <c:v>#N/A</c:v>
                </c:pt>
                <c:pt idx="1">
                  <c:v>2.8000000000000003</c:v>
                </c:pt>
              </c:numCache>
            </c:numRef>
          </c:val>
          <c:extLst>
            <c:ext xmlns:c16="http://schemas.microsoft.com/office/drawing/2014/chart" uri="{C3380CC4-5D6E-409C-BE32-E72D297353CC}">
              <c16:uniqueId val="{00000003-B483-4F06-ABDD-03B0CD1AA54C}"/>
            </c:ext>
          </c:extLst>
        </c:ser>
        <c:ser>
          <c:idx val="4"/>
          <c:order val="4"/>
          <c:tx>
            <c:strRef>
              <c:f>'D1'!$CAA$28</c:f>
              <c:strCache>
                <c:ptCount val="1"/>
                <c:pt idx="0">
                  <c:v>natuurlijk proces</c:v>
                </c:pt>
              </c:strCache>
            </c:strRef>
          </c:tx>
          <c:spPr>
            <a:solidFill>
              <a:srgbClr val="CCFFCC"/>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'D1'!$CAB$28:$CAC$28</c:f>
              <c:numCache>
                <c:formatCode>0</c:formatCode>
                <c:ptCount val="2"/>
                <c:pt idx="0">
                  <c:v>#N/A</c:v>
                </c:pt>
                <c:pt idx="1">
                  <c:v>1.4000000000000001</c:v>
                </c:pt>
              </c:numCache>
            </c:numRef>
          </c:val>
          <c:extLst>
            <c:ext xmlns:c16="http://schemas.microsoft.com/office/drawing/2014/chart" uri="{C3380CC4-5D6E-409C-BE32-E72D297353CC}">
              <c16:uniqueId val="{00000004-B483-4F06-ABDD-03B0CD1AA54C}"/>
            </c:ext>
          </c:extLst>
        </c:ser>
        <c:ser>
          <c:idx val="5"/>
          <c:order val="5"/>
          <c:tx>
            <c:strRef>
              <c:f>'D1'!$CAA$29</c:f>
              <c:strCache>
                <c:ptCount val="1"/>
                <c:pt idx="0">
                  <c:v>herbruikb.na afdank</c:v>
                </c:pt>
              </c:strCache>
            </c:strRef>
          </c:tx>
          <c:spPr>
            <a:solidFill>
              <a:srgbClr val="FFC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'D1'!$CAB$29:$CAC$29</c:f>
              <c:numCache>
                <c:formatCode>0</c:formatCode>
                <c:ptCount val="2"/>
                <c:pt idx="0">
                  <c:v>#N/A</c:v>
                </c:pt>
                <c:pt idx="1">
                  <c:v>6.3000000000000007</c:v>
                </c:pt>
              </c:numCache>
            </c:numRef>
          </c:val>
          <c:extLst>
            <c:ext xmlns:c16="http://schemas.microsoft.com/office/drawing/2014/chart" uri="{C3380CC4-5D6E-409C-BE32-E72D297353CC}">
              <c16:uniqueId val="{00000005-B483-4F06-ABDD-03B0CD1AA54C}"/>
            </c:ext>
          </c:extLst>
        </c:ser>
        <c:ser>
          <c:idx val="6"/>
          <c:order val="6"/>
          <c:tx>
            <c:strRef>
              <c:f>'D1'!$CAA$30</c:f>
              <c:strCache>
                <c:ptCount val="1"/>
                <c:pt idx="0">
                  <c:v>materialenpaspoort</c:v>
                </c:pt>
              </c:strCache>
            </c:strRef>
          </c:tx>
          <c:spPr>
            <a:solidFill>
              <a:srgbClr val="FFFF66"/>
            </a:solid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'D1'!$CAB$30:$CAC$30</c:f>
              <c:numCache>
                <c:formatCode>0</c:formatCode>
                <c:ptCount val="2"/>
                <c:pt idx="0">
                  <c:v>#N/A</c:v>
                </c:pt>
                <c:pt idx="1">
                  <c:v>0.70000000000000007</c:v>
                </c:pt>
              </c:numCache>
            </c:numRef>
          </c:val>
          <c:extLst>
            <c:ext xmlns:c16="http://schemas.microsoft.com/office/drawing/2014/chart" uri="{C3380CC4-5D6E-409C-BE32-E72D297353CC}">
              <c16:uniqueId val="{00000006-B483-4F06-ABDD-03B0CD1AA54C}"/>
            </c:ext>
          </c:extLst>
        </c:ser>
        <c:ser>
          <c:idx val="7"/>
          <c:order val="7"/>
          <c:tx>
            <c:strRef>
              <c:f>'D1'!$CAA$31</c:f>
              <c:strCache>
                <c:ptCount val="1"/>
                <c:pt idx="0">
                  <c:v>toekomstgericht</c:v>
                </c:pt>
              </c:strCache>
            </c:strRef>
          </c:tx>
          <c:spPr>
            <a:solidFill>
              <a:srgbClr val="002060"/>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'D1'!$CAB$31:$CAC$31</c:f>
              <c:numCache>
                <c:formatCode>0</c:formatCode>
                <c:ptCount val="2"/>
                <c:pt idx="0">
                  <c:v>#N/A</c:v>
                </c:pt>
                <c:pt idx="1">
                  <c:v>10</c:v>
                </c:pt>
              </c:numCache>
            </c:numRef>
          </c:val>
          <c:extLst>
            <c:ext xmlns:c16="http://schemas.microsoft.com/office/drawing/2014/chart" uri="{C3380CC4-5D6E-409C-BE32-E72D297353CC}">
              <c16:uniqueId val="{00000007-B483-4F06-ABDD-03B0CD1AA54C}"/>
            </c:ext>
          </c:extLst>
        </c:ser>
        <c:ser>
          <c:idx val="8"/>
          <c:order val="8"/>
          <c:tx>
            <c:strRef>
              <c:f>'D1'!$CAA$32</c:f>
              <c:strCache>
                <c:ptCount val="1"/>
                <c:pt idx="0">
                  <c:v>beheer/onderhoud</c:v>
                </c:pt>
              </c:strCache>
            </c:strRef>
          </c:tx>
          <c:spPr>
            <a:solidFill>
              <a:srgbClr val="6666FF"/>
            </a:solidFill>
            <a:ln>
              <a:solidFill>
                <a:schemeClr val="bg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'D1'!$CAB$32:$CAC$32</c:f>
              <c:numCache>
                <c:formatCode>0</c:formatCode>
                <c:ptCount val="2"/>
                <c:pt idx="0">
                  <c:v>#N/A</c:v>
                </c:pt>
                <c:pt idx="1">
                  <c:v>7.0000000000000009</c:v>
                </c:pt>
              </c:numCache>
            </c:numRef>
          </c:val>
          <c:extLst>
            <c:ext xmlns:c16="http://schemas.microsoft.com/office/drawing/2014/chart" uri="{C3380CC4-5D6E-409C-BE32-E72D297353CC}">
              <c16:uniqueId val="{00000008-B483-4F06-ABDD-03B0CD1AA54C}"/>
            </c:ext>
          </c:extLst>
        </c:ser>
        <c:ser>
          <c:idx val="9"/>
          <c:order val="9"/>
          <c:tx>
            <c:strRef>
              <c:f>'D1'!$CAA$33</c:f>
              <c:strCache>
                <c:ptCount val="1"/>
                <c:pt idx="0">
                  <c:v>MKIberekening</c:v>
                </c:pt>
              </c:strCache>
            </c:strRef>
          </c:tx>
          <c:spPr>
            <a:solidFill>
              <a:srgbClr val="FF6600">
                <a:alpha val="89804"/>
              </a:srgbClr>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0">
                <a:spAutoFit/>
              </a:bodyPr>
              <a:lstStyle/>
              <a:p>
                <a:pPr algn="ctr">
                  <a:defRPr lang="nl-NL"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'D1'!$CAB$33:$CAC$33</c:f>
              <c:numCache>
                <c:formatCode>0</c:formatCode>
                <c:ptCount val="2"/>
                <c:pt idx="0">
                  <c:v>#N/A</c:v>
                </c:pt>
                <c:pt idx="1">
                  <c:v>20</c:v>
                </c:pt>
              </c:numCache>
            </c:numRef>
          </c:val>
          <c:extLst>
            <c:ext xmlns:c16="http://schemas.microsoft.com/office/drawing/2014/chart" uri="{C3380CC4-5D6E-409C-BE32-E72D297353CC}">
              <c16:uniqueId val="{00000009-B483-4F06-ABDD-03B0CD1AA54C}"/>
            </c:ext>
          </c:extLst>
        </c:ser>
        <c:ser>
          <c:idx val="10"/>
          <c:order val="10"/>
          <c:tx>
            <c:strRef>
              <c:f>'D1'!$CAA$34</c:f>
              <c:strCache>
                <c:ptCount val="1"/>
                <c:pt idx="0">
                  <c:v>CIberekening</c:v>
                </c:pt>
              </c:strCache>
            </c:strRef>
          </c:tx>
          <c:spPr>
            <a:solidFill>
              <a:srgbClr val="FF9966"/>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'D1'!$CAB$34:$CAC$34</c:f>
              <c:numCache>
                <c:formatCode>0</c:formatCode>
                <c:ptCount val="2"/>
                <c:pt idx="0">
                  <c:v>#N/A</c:v>
                </c:pt>
                <c:pt idx="1">
                  <c:v>4.9999999999999991</c:v>
                </c:pt>
              </c:numCache>
            </c:numRef>
          </c:val>
          <c:extLst>
            <c:ext xmlns:c16="http://schemas.microsoft.com/office/drawing/2014/chart" uri="{C3380CC4-5D6E-409C-BE32-E72D297353CC}">
              <c16:uniqueId val="{0000000A-B483-4F06-ABDD-03B0CD1AA54C}"/>
            </c:ext>
          </c:extLst>
        </c:ser>
        <c:ser>
          <c:idx val="11"/>
          <c:order val="11"/>
          <c:tx>
            <c:strRef>
              <c:f>'D1'!$CAA$35</c:f>
              <c:strCache>
                <c:ptCount val="1"/>
                <c:pt idx="0">
                  <c:v>CO2berekening</c:v>
                </c:pt>
              </c:strCache>
            </c:strRef>
          </c:tx>
          <c:spPr>
            <a:solidFill>
              <a:srgbClr val="C00000"/>
            </a:solidFill>
            <a:ln>
              <a:solidFill>
                <a:schemeClr val="bg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'D1'!$CAB$35:$CAC$35</c:f>
              <c:numCache>
                <c:formatCode>0</c:formatCode>
                <c:ptCount val="2"/>
                <c:pt idx="0">
                  <c:v>#N/A</c:v>
                </c:pt>
                <c:pt idx="1">
                  <c:v>10</c:v>
                </c:pt>
              </c:numCache>
            </c:numRef>
          </c:val>
          <c:extLst>
            <c:ext xmlns:c16="http://schemas.microsoft.com/office/drawing/2014/chart" uri="{C3380CC4-5D6E-409C-BE32-E72D297353CC}">
              <c16:uniqueId val="{0000000B-B483-4F06-ABDD-03B0CD1AA54C}"/>
            </c:ext>
          </c:extLst>
        </c:ser>
        <c:ser>
          <c:idx val="12"/>
          <c:order val="12"/>
          <c:tx>
            <c:strRef>
              <c:f>'D1'!$CAA$36</c:f>
              <c:strCache>
                <c:ptCount val="1"/>
                <c:pt idx="0">
                  <c:v>bonus</c:v>
                </c:pt>
              </c:strCache>
            </c:strRef>
          </c:tx>
          <c:spPr>
            <a:pattFill prst="ltUpDiag">
              <a:fgClr>
                <a:schemeClr val="bg1">
                  <a:lumMod val="75000"/>
                </a:schemeClr>
              </a:fgClr>
              <a:bgClr>
                <a:schemeClr val="bg1"/>
              </a:bgClr>
            </a:pattFill>
            <a:ln>
              <a:no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'D1'!$CAB$36:$CAC$36</c:f>
              <c:numCache>
                <c:formatCode>General</c:formatCode>
                <c:ptCount val="2"/>
                <c:pt idx="0" formatCode="0.0">
                  <c:v>0</c:v>
                </c:pt>
              </c:numCache>
            </c:numRef>
          </c:val>
          <c:extLst>
            <c:ext xmlns:c16="http://schemas.microsoft.com/office/drawing/2014/chart" uri="{C3380CC4-5D6E-409C-BE32-E72D297353CC}">
              <c16:uniqueId val="{0000000C-B483-4F06-ABDD-03B0CD1AA54C}"/>
            </c:ext>
          </c:extLst>
        </c:ser>
        <c:ser>
          <c:idx val="13"/>
          <c:order val="13"/>
          <c:tx>
            <c:strRef>
              <c:f>'D1'!$CAA$37</c:f>
              <c:strCache>
                <c:ptCount val="1"/>
                <c:pt idx="0">
                  <c:v>rest</c:v>
                </c:pt>
              </c:strCache>
            </c:strRef>
          </c:tx>
          <c:spPr>
            <a:blipFill>
              <a:blip xmlns:r="http://schemas.openxmlformats.org/officeDocument/2006/relationships" r:embed="rId3"/>
              <a:stretch>
                <a:fillRect/>
              </a:stretch>
            </a:blipFill>
            <a:ln>
              <a:noFill/>
            </a:ln>
            <a:effectLst/>
          </c:spPr>
          <c:invertIfNegative val="0"/>
          <c:dPt>
            <c:idx val="0"/>
            <c:invertIfNegative val="0"/>
            <c:bubble3D val="0"/>
            <c:spPr>
              <a:blipFill>
                <a:blip xmlns:r="http://schemas.openxmlformats.org/officeDocument/2006/relationships" r:embed="rId3"/>
                <a:stretch>
                  <a:fillRect/>
                </a:stretch>
              </a:blipFill>
              <a:ln>
                <a:noFill/>
              </a:ln>
              <a:effectLst/>
            </c:spPr>
            <c:extLst>
              <c:ext xmlns:c16="http://schemas.microsoft.com/office/drawing/2014/chart" uri="{C3380CC4-5D6E-409C-BE32-E72D297353CC}">
                <c16:uniqueId val="{0000000E-B483-4F06-ABDD-03B0CD1AA54C}"/>
              </c:ext>
            </c:extLst>
          </c:dPt>
          <c:dLbls>
            <c:dLbl>
              <c:idx val="1"/>
              <c:delete val="1"/>
              <c:extLst>
                <c:ext xmlns:c15="http://schemas.microsoft.com/office/drawing/2012/chart" uri="{CE6537A1-D6FC-4f65-9D91-7224C49458BB}"/>
                <c:ext xmlns:c16="http://schemas.microsoft.com/office/drawing/2014/chart" uri="{C3380CC4-5D6E-409C-BE32-E72D297353CC}">
                  <c16:uniqueId val="{0000000F-B483-4F06-ABDD-03B0CD1AA54C}"/>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8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'D1'!$CAB$23:$CAC$23</c:f>
              <c:strCache>
                <c:ptCount val="2"/>
                <c:pt idx="0">
                  <c:v>D1</c:v>
                </c:pt>
                <c:pt idx="1">
                  <c:v>max score</c:v>
                </c:pt>
              </c:strCache>
            </c:strRef>
          </c:cat>
          <c:val>
            <c:numRef>
              <c:f>'D1'!$CAB$37:$CAC$37</c:f>
              <c:numCache>
                <c:formatCode>0</c:formatCode>
                <c:ptCount val="2"/>
                <c:pt idx="0">
                  <c:v>#N/A</c:v>
                </c:pt>
                <c:pt idx="1">
                  <c:v>0</c:v>
                </c:pt>
              </c:numCache>
            </c:numRef>
          </c:val>
          <c:extLst>
            <c:ext xmlns:c16="http://schemas.microsoft.com/office/drawing/2014/chart" uri="{C3380CC4-5D6E-409C-BE32-E72D297353CC}">
              <c16:uniqueId val="{00000010-B483-4F06-ABDD-03B0CD1AA54C}"/>
            </c:ext>
          </c:extLst>
        </c:ser>
        <c:dLbls>
          <c:showLegendKey val="0"/>
          <c:showVal val="0"/>
          <c:showCatName val="0"/>
          <c:showSerName val="0"/>
          <c:showPercent val="0"/>
          <c:showBubbleSize val="0"/>
        </c:dLbls>
        <c:gapWidth val="100"/>
        <c:overlap val="100"/>
        <c:serLines>
          <c:spPr>
            <a:ln w="9525" cap="flat" cmpd="sng" algn="ctr">
              <a:solidFill>
                <a:schemeClr val="tx1">
                  <a:lumMod val="35000"/>
                  <a:lumOff val="65000"/>
                </a:schemeClr>
              </a:solidFill>
              <a:round/>
            </a:ln>
            <a:effectLst/>
          </c:spPr>
        </c:serLines>
        <c:axId val="689123072"/>
        <c:axId val="689115856"/>
      </c:barChart>
      <c:catAx>
        <c:axId val="689123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crossAx val="689115856"/>
        <c:crosses val="autoZero"/>
        <c:auto val="1"/>
        <c:lblAlgn val="ctr"/>
        <c:lblOffset val="100"/>
        <c:noMultiLvlLbl val="0"/>
      </c:catAx>
      <c:valAx>
        <c:axId val="689115856"/>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nl-NL" sz="1600" baseline="0"/>
                  <a:t> Circulair Peil Index   CPI  [-]</a:t>
                </a:r>
                <a:endParaRPr lang="nl-NL"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title>
        <c:numFmt formatCode="0" sourceLinked="1"/>
        <c:majorTickMark val="out"/>
        <c:minorTickMark val="none"/>
        <c:tickLblPos val="nextTo"/>
        <c:spPr>
          <a:noFill/>
          <a:ln>
            <a:solidFill>
              <a:schemeClr val="bg1"/>
            </a:solid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8912307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NL"/>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r>
              <a:rPr lang="nl-NL" sz="1600" b="1"/>
              <a:t>Procesmonitor Circulaire Peiler</a:t>
            </a:r>
          </a:p>
          <a:p>
            <a:pPr algn="l">
              <a:defRPr sz="1600" b="1"/>
            </a:pPr>
            <a:r>
              <a:rPr lang="nl-NL" sz="1600" b="1"/>
              <a:t>CPI :</a:t>
            </a:r>
            <a:r>
              <a:rPr lang="nl-NL" sz="1600" b="1" baseline="0"/>
              <a:t> D</a:t>
            </a:r>
            <a:r>
              <a:rPr lang="nl-NL" sz="1600" b="1"/>
              <a:t>e 8 circulaire ontwerpprincipes</a:t>
            </a:r>
          </a:p>
        </c:rich>
      </c:tx>
      <c:layout>
        <c:manualLayout>
          <c:xMode val="edge"/>
          <c:yMode val="edge"/>
          <c:x val="0.18955827682422982"/>
          <c:y val="1.3285023071706547E-2"/>
        </c:manualLayout>
      </c:layout>
      <c:overlay val="0"/>
      <c:spPr>
        <a:noFill/>
        <a:ln>
          <a:noFill/>
        </a:ln>
        <a:effectLst/>
      </c:spPr>
      <c:txPr>
        <a:bodyPr rot="0" spcFirstLastPara="1" vertOverflow="ellipsis" vert="horz" wrap="square" anchor="ctr" anchorCtr="1"/>
        <a:lstStyle/>
        <a:p>
          <a:pPr algn="l">
            <a:defRPr sz="1600" b="1"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21125280475587238"/>
          <c:y val="0.14728383294882977"/>
          <c:w val="0.28643798074136634"/>
          <c:h val="0.78337073762213927"/>
        </c:manualLayout>
      </c:layout>
      <c:barChart>
        <c:barDir val="col"/>
        <c:grouping val="stacked"/>
        <c:varyColors val="0"/>
        <c:ser>
          <c:idx val="0"/>
          <c:order val="0"/>
          <c:tx>
            <c:strRef>
              <c:f>'invoer Basis'!$BZI$54</c:f>
              <c:strCache>
                <c:ptCount val="1"/>
                <c:pt idx="0">
                  <c:v>Voorkómen: niet doen wat echt niet hoeft</c:v>
                </c:pt>
              </c:strCache>
            </c:strRef>
          </c:tx>
          <c:spPr>
            <a:solidFill>
              <a:schemeClr val="accent1"/>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Basis'!$BZJ$54</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0-99A5-4D35-A692-A4710FCB80D9}"/>
            </c:ext>
          </c:extLst>
        </c:ser>
        <c:ser>
          <c:idx val="1"/>
          <c:order val="1"/>
          <c:tx>
            <c:strRef>
              <c:f>'invoer Basis'!$BZI$55</c:f>
              <c:strCache>
                <c:ptCount val="1"/>
                <c:pt idx="0">
                  <c:v>Verleng de levensduur van bestaande objecten of componenten</c:v>
                </c:pt>
              </c:strCache>
            </c:strRef>
          </c:tx>
          <c:spPr>
            <a:solidFill>
              <a:schemeClr val="accent2"/>
            </a:solidFill>
            <a:ln w="19050">
              <a:solidFill>
                <a:schemeClr val="lt1"/>
              </a:solidFill>
            </a:ln>
            <a:effectLst/>
          </c:spPr>
          <c:invertIfNegative val="0"/>
          <c:val>
            <c:numRef>
              <c:f>'invoer Basis'!$BZJ$55</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1-99A5-4D35-A692-A4710FCB80D9}"/>
            </c:ext>
          </c:extLst>
        </c:ser>
        <c:ser>
          <c:idx val="2"/>
          <c:order val="2"/>
          <c:tx>
            <c:strRef>
              <c:f>'invoer Basis'!$BZI$56</c:f>
              <c:strCache>
                <c:ptCount val="1"/>
                <c:pt idx="0">
                  <c:v>Duurzaam gebruik van bestaande objecten, materialen, grondstoffen en natuurlijke processen</c:v>
                </c:pt>
              </c:strCache>
            </c:strRef>
          </c:tx>
          <c:spPr>
            <a:solidFill>
              <a:schemeClr val="accent3"/>
            </a:solidFill>
            <a:ln w="19050">
              <a:solidFill>
                <a:schemeClr val="lt1"/>
              </a:solidFill>
            </a:ln>
            <a:effectLst/>
          </c:spPr>
          <c:invertIfNegative val="0"/>
          <c:val>
            <c:numRef>
              <c:f>'invoer Basis'!$BZJ$56</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2-99A5-4D35-A692-A4710FCB80D9}"/>
            </c:ext>
          </c:extLst>
        </c:ser>
        <c:ser>
          <c:idx val="3"/>
          <c:order val="3"/>
          <c:tx>
            <c:strRef>
              <c:f>'invoer Basis'!$BZI$57</c:f>
              <c:strCache>
                <c:ptCount val="1"/>
                <c:pt idx="0">
                  <c:v>Ontwerp voor meerdere levenscycli</c:v>
                </c:pt>
              </c:strCache>
            </c:strRef>
          </c:tx>
          <c:spPr>
            <a:solidFill>
              <a:schemeClr val="accent4"/>
            </a:solidFill>
            <a:ln w="19050">
              <a:solidFill>
                <a:schemeClr val="lt1"/>
              </a:solidFill>
            </a:ln>
            <a:effectLst/>
          </c:spPr>
          <c:invertIfNegative val="0"/>
          <c:val>
            <c:numRef>
              <c:f>'invoer Basis'!$BZJ$57</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3-99A5-4D35-A692-A4710FCB80D9}"/>
            </c:ext>
          </c:extLst>
        </c:ser>
        <c:ser>
          <c:idx val="4"/>
          <c:order val="4"/>
          <c:tx>
            <c:strRef>
              <c:f>'invoer Basis'!$BZI$58</c:f>
              <c:strCache>
                <c:ptCount val="1"/>
                <c:pt idx="0">
                  <c:v>Ontwerp toekomstbestendig</c:v>
                </c:pt>
              </c:strCache>
            </c:strRef>
          </c:tx>
          <c:spPr>
            <a:solidFill>
              <a:schemeClr val="accent5"/>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lumMod val="8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Basis'!$BZJ$58</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4-99A5-4D35-A692-A4710FCB80D9}"/>
            </c:ext>
          </c:extLst>
        </c:ser>
        <c:ser>
          <c:idx val="5"/>
          <c:order val="5"/>
          <c:tx>
            <c:strRef>
              <c:f>'invoer Basis'!$BZI$59</c:f>
              <c:strCache>
                <c:ptCount val="1"/>
                <c:pt idx="0">
                  <c:v>Ontwerp voor optimaal beheer en onderhoud </c:v>
                </c:pt>
              </c:strCache>
            </c:strRef>
          </c:tx>
          <c:spPr>
            <a:solidFill>
              <a:schemeClr val="accent6"/>
            </a:solidFill>
            <a:ln w="19050">
              <a:solidFill>
                <a:schemeClr val="lt1"/>
              </a:solidFill>
            </a:ln>
            <a:effectLst/>
          </c:spPr>
          <c:invertIfNegative val="0"/>
          <c:val>
            <c:numRef>
              <c:f>'invoer Basis'!$BZJ$59</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5-99A5-4D35-A692-A4710FCB80D9}"/>
            </c:ext>
          </c:extLst>
        </c:ser>
        <c:ser>
          <c:idx val="6"/>
          <c:order val="6"/>
          <c:tx>
            <c:strRef>
              <c:f>'invoer Basis'!$BZI$60</c:f>
              <c:strCache>
                <c:ptCount val="1"/>
                <c:pt idx="0">
                  <c:v>Duurzaam materiaalgebruik (hoeveel x milieubelasting)</c:v>
                </c:pt>
              </c:strCache>
            </c:strRef>
          </c:tx>
          <c:spPr>
            <a:solidFill>
              <a:schemeClr val="accent1">
                <a:lumMod val="60000"/>
              </a:schemeClr>
            </a:solidFill>
            <a:ln w="19050">
              <a:solidFill>
                <a:schemeClr val="lt1"/>
              </a:solidFill>
            </a:ln>
            <a:effectLst/>
          </c:spPr>
          <c:invertIfNegative val="0"/>
          <c:val>
            <c:numRef>
              <c:f>'invoer Basis'!$BZJ$60</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6-99A5-4D35-A692-A4710FCB80D9}"/>
            </c:ext>
          </c:extLst>
        </c:ser>
        <c:ser>
          <c:idx val="7"/>
          <c:order val="7"/>
          <c:tx>
            <c:strRef>
              <c:f>'invoer Basis'!$BZI$61</c:f>
              <c:strCache>
                <c:ptCount val="1"/>
                <c:pt idx="0">
                  <c:v>Ontwerp voor minimaal grondstof- en energiegebruik in de aanleg/gebruiksfase</c:v>
                </c:pt>
              </c:strCache>
            </c:strRef>
          </c:tx>
          <c:spPr>
            <a:solidFill>
              <a:schemeClr val="accent2">
                <a:lumMod val="60000"/>
              </a:schemeClr>
            </a:solidFill>
            <a:ln w="19050">
              <a:solidFill>
                <a:schemeClr val="lt1"/>
              </a:solidFill>
            </a:ln>
            <a:effectLst/>
          </c:spPr>
          <c:invertIfNegative val="0"/>
          <c:val>
            <c:numRef>
              <c:f>'invoer Basis'!$BZJ$61</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7-99A5-4D35-A692-A4710FCB80D9}"/>
            </c:ext>
          </c:extLst>
        </c:ser>
        <c:ser>
          <c:idx val="8"/>
          <c:order val="8"/>
          <c:tx>
            <c:strRef>
              <c:f>'invoer Basis'!$BZI$62</c:f>
              <c:strCache>
                <c:ptCount val="1"/>
                <c:pt idx="0">
                  <c:v>Rest</c:v>
                </c:pt>
              </c:strCache>
            </c:strRef>
          </c:tx>
          <c:spPr>
            <a:solidFill>
              <a:schemeClr val="accent3">
                <a:lumMod val="60000"/>
              </a:schemeClr>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'invoer Basis'!$BZJ$62</c:f>
            </c:numRef>
          </c:val>
          <c:extLst>
            <c:ext xmlns:c15="http://schemas.microsoft.com/office/drawing/2012/chart" uri="{02D57815-91ED-43cb-92C2-25804820EDAC}">
              <c15:filteredCategoryTitle>
                <c15:cat>
                  <c:multiLvlStrRef>
                    <c:extLst>
                      <c:ext uri="{02D57815-91ED-43cb-92C2-25804820EDAC}">
                        <c15:formulaRef>
                          <c15:sqref>'invoer Basis'!$BZJ$53</c15:sqref>
                        </c15:formulaRef>
                      </c:ext>
                    </c:extLst>
                  </c:multiLvlStrRef>
                </c15:cat>
              </c15:filteredCategoryTitle>
            </c:ext>
            <c:ext xmlns:c16="http://schemas.microsoft.com/office/drawing/2014/chart" uri="{C3380CC4-5D6E-409C-BE32-E72D297353CC}">
              <c16:uniqueId val="{00000008-99A5-4D35-A692-A4710FCB80D9}"/>
            </c:ext>
          </c:extLst>
        </c:ser>
        <c:dLbls>
          <c:showLegendKey val="0"/>
          <c:showVal val="0"/>
          <c:showCatName val="0"/>
          <c:showSerName val="0"/>
          <c:showPercent val="0"/>
          <c:showBubbleSize val="0"/>
        </c:dLbls>
        <c:gapWidth val="100"/>
        <c:overlap val="100"/>
        <c:axId val="620690952"/>
        <c:axId val="620694560"/>
      </c:barChart>
      <c:catAx>
        <c:axId val="6206909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crossAx val="620694560"/>
        <c:crosses val="autoZero"/>
        <c:auto val="1"/>
        <c:lblAlgn val="ctr"/>
        <c:lblOffset val="100"/>
        <c:noMultiLvlLbl val="0"/>
      </c:catAx>
      <c:valAx>
        <c:axId val="620694560"/>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r>
                  <a:rPr lang="nl-NL" sz="2400"/>
                  <a:t>Circulair Peil Index (CPI)  (max 100)</a:t>
                </a:r>
              </a:p>
            </c:rich>
          </c:tx>
          <c:overlay val="0"/>
          <c:spPr>
            <a:noFill/>
            <a:ln>
              <a:noFill/>
            </a:ln>
            <a:effectLst/>
          </c:spPr>
          <c:txPr>
            <a:bodyPr rot="-5400000" spcFirstLastPara="1" vertOverflow="ellipsis" vert="horz" wrap="square" anchor="ctr" anchorCtr="1"/>
            <a:lstStyle/>
            <a:p>
              <a:pPr>
                <a:defRPr sz="2400" b="0" i="0" u="none" strike="noStrike" kern="1200" baseline="0">
                  <a:solidFill>
                    <a:schemeClr val="tx1">
                      <a:lumMod val="65000"/>
                      <a:lumOff val="35000"/>
                    </a:schemeClr>
                  </a:solidFill>
                  <a:latin typeface="+mn-lt"/>
                  <a:ea typeface="+mn-ea"/>
                  <a:cs typeface="+mn-cs"/>
                </a:defRPr>
              </a:pPr>
              <a:endParaRPr lang="nl-NL"/>
            </a:p>
          </c:txPr>
        </c:title>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620690952"/>
        <c:crosses val="autoZero"/>
        <c:crossBetween val="between"/>
        <c:majorUnit val="20"/>
      </c:valAx>
      <c:spPr>
        <a:gradFill>
          <a:gsLst>
            <a:gs pos="30000">
              <a:srgbClr val="FFFF00">
                <a:alpha val="50196"/>
              </a:srgbClr>
            </a:gs>
            <a:gs pos="20000">
              <a:srgbClr val="92D050">
                <a:alpha val="50196"/>
              </a:srgbClr>
            </a:gs>
            <a:gs pos="10000">
              <a:srgbClr val="00B050">
                <a:alpha val="50196"/>
              </a:srgbClr>
            </a:gs>
            <a:gs pos="40000">
              <a:srgbClr val="FFC000">
                <a:alpha val="50000"/>
              </a:srgbClr>
            </a:gs>
            <a:gs pos="5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nl-NL" sz="1800"/>
              <a:t>Referentiemonitor verbetering (reductie) Milieukosten / Circulariteit / CO2</a:t>
            </a:r>
          </a:p>
        </c:rich>
      </c:tx>
      <c:layout>
        <c:manualLayout>
          <c:xMode val="edge"/>
          <c:yMode val="edge"/>
          <c:x val="0.23003133202099738"/>
          <c:y val="2.7777880267646139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('D1'!$AN$67,'D1'!$AN$71,'D1'!$AN$75)</c:f>
              <c:strCache>
                <c:ptCount val="3"/>
                <c:pt idx="0">
                  <c:v>MKI reductie t.o.v. referentie € </c:v>
                </c:pt>
                <c:pt idx="1">
                  <c:v>MCI reductie t.o.v. referentie  [-]</c:v>
                </c:pt>
                <c:pt idx="2">
                  <c:v>CO2 reductie t.o.v. referentie  tonCO2</c:v>
                </c:pt>
              </c:strCache>
            </c:strRef>
          </c:cat>
          <c:val>
            <c:numRef>
              <c:f>('D1'!$AO$67,'D1'!$AO$71,'D1'!$AO$75)</c:f>
            </c:numRef>
          </c:val>
          <c:extLst xmlns:c15="http://schemas.microsoft.com/office/drawing/2012/chart">
            <c:ext xmlns:c16="http://schemas.microsoft.com/office/drawing/2014/chart" uri="{C3380CC4-5D6E-409C-BE32-E72D297353CC}">
              <c16:uniqueId val="{00000006-CD66-48FA-A43D-662B23A3FCFB}"/>
            </c:ext>
          </c:extLst>
        </c:ser>
        <c:ser>
          <c:idx val="1"/>
          <c:order val="1"/>
          <c:spPr>
            <a:solidFill>
              <a:schemeClr val="accent2"/>
            </a:solidFill>
            <a:ln>
              <a:solidFill>
                <a:srgbClr val="FFFFFF"/>
              </a:solidFill>
            </a:ln>
            <a:effectLst/>
          </c:spPr>
          <c:invertIfNegative val="0"/>
          <c:dPt>
            <c:idx val="0"/>
            <c:invertIfNegative val="0"/>
            <c:bubble3D val="0"/>
            <c:spPr>
              <a:solidFill>
                <a:srgbClr val="92D050"/>
              </a:solidFill>
              <a:ln>
                <a:solidFill>
                  <a:srgbClr val="FFFFFF"/>
                </a:solidFill>
              </a:ln>
              <a:effectLst/>
            </c:spPr>
            <c:extLst>
              <c:ext xmlns:c16="http://schemas.microsoft.com/office/drawing/2014/chart" uri="{C3380CC4-5D6E-409C-BE32-E72D297353CC}">
                <c16:uniqueId val="{00000001-06B2-4D9A-93B7-DEF7A9B983A3}"/>
              </c:ext>
            </c:extLst>
          </c:dPt>
          <c:dPt>
            <c:idx val="1"/>
            <c:invertIfNegative val="0"/>
            <c:bubble3D val="0"/>
            <c:spPr>
              <a:solidFill>
                <a:srgbClr val="00B0F0"/>
              </a:solidFill>
              <a:ln>
                <a:solidFill>
                  <a:srgbClr val="FFFFFF"/>
                </a:solidFill>
              </a:ln>
              <a:effectLst/>
            </c:spPr>
            <c:extLst>
              <c:ext xmlns:c16="http://schemas.microsoft.com/office/drawing/2014/chart" uri="{C3380CC4-5D6E-409C-BE32-E72D297353CC}">
                <c16:uniqueId val="{00000003-06B2-4D9A-93B7-DEF7A9B983A3}"/>
              </c:ext>
            </c:extLst>
          </c:dPt>
          <c:dPt>
            <c:idx val="2"/>
            <c:invertIfNegative val="0"/>
            <c:bubble3D val="0"/>
            <c:spPr>
              <a:solidFill>
                <a:srgbClr val="FF0000"/>
              </a:solidFill>
              <a:ln>
                <a:solidFill>
                  <a:srgbClr val="FFFFFF"/>
                </a:solidFill>
              </a:ln>
              <a:effectLst/>
            </c:spPr>
            <c:extLst>
              <c:ext xmlns:c16="http://schemas.microsoft.com/office/drawing/2014/chart" uri="{C3380CC4-5D6E-409C-BE32-E72D297353CC}">
                <c16:uniqueId val="{00000005-06B2-4D9A-93B7-DEF7A9B983A3}"/>
              </c:ext>
            </c:extLst>
          </c:dPt>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('D1'!$AN$67,'D1'!$AN$71,'D1'!$AN$75)</c:f>
              <c:strCache>
                <c:ptCount val="3"/>
                <c:pt idx="0">
                  <c:v>MKI reductie t.o.v. referentie € </c:v>
                </c:pt>
                <c:pt idx="1">
                  <c:v>MCI reductie t.o.v. referentie  [-]</c:v>
                </c:pt>
                <c:pt idx="2">
                  <c:v>CO2 reductie t.o.v. referentie  tonCO2</c:v>
                </c:pt>
              </c:strCache>
            </c:strRef>
          </c:cat>
          <c:val>
            <c:numRef>
              <c:f>('D1'!$AP$67,'D1'!$AP$71,'D1'!$AP$75)</c:f>
              <c:numCache>
                <c:formatCode>0%</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7-CD66-48FA-A43D-662B23A3FCFB}"/>
            </c:ext>
          </c:extLst>
        </c:ser>
        <c:dLbls>
          <c:showLegendKey val="0"/>
          <c:showVal val="0"/>
          <c:showCatName val="0"/>
          <c:showSerName val="0"/>
          <c:showPercent val="0"/>
          <c:showBubbleSize val="0"/>
        </c:dLbls>
        <c:gapWidth val="50"/>
        <c:overlap val="10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r>
                  <a:rPr lang="nl-NL" sz="1600" baseline="0"/>
                  <a:t> Reductie MKI / Circulariteit / CO2 [%]</a:t>
                </a:r>
                <a:endParaRPr lang="nl-NL" sz="1600"/>
              </a:p>
            </c:rich>
          </c:tx>
          <c:overlay val="0"/>
          <c:spPr>
            <a:noFill/>
            <a:ln>
              <a:noFill/>
            </a:ln>
            <a:effectLst/>
          </c:spPr>
          <c:txPr>
            <a:bodyPr rot="-54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gradFill>
          <a:gsLst>
            <a:gs pos="60000">
              <a:srgbClr val="FFFF00">
                <a:alpha val="50196"/>
              </a:srgbClr>
            </a:gs>
            <a:gs pos="29000">
              <a:srgbClr val="92D050">
                <a:alpha val="50196"/>
              </a:srgbClr>
            </a:gs>
            <a:gs pos="10000">
              <a:srgbClr val="00B050">
                <a:alpha val="50196"/>
              </a:srgbClr>
            </a:gs>
            <a:gs pos="70000">
              <a:srgbClr val="FFC000">
                <a:alpha val="50000"/>
              </a:srgbClr>
            </a:gs>
            <a:gs pos="8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Procesmonitor Circulaire Peiler </a:t>
            </a:r>
          </a:p>
        </c:rich>
      </c:tx>
      <c:layout>
        <c:manualLayout>
          <c:xMode val="edge"/>
          <c:yMode val="edge"/>
          <c:x val="0.21479672880644757"/>
          <c:y val="0"/>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30726632190985825"/>
          <c:y val="8.0681475924485352E-2"/>
          <c:w val="0.64515478636158052"/>
          <c:h val="0.84373596849922305"/>
        </c:manualLayout>
      </c:layout>
      <c:barChart>
        <c:barDir val="col"/>
        <c:grouping val="stacked"/>
        <c:varyColors val="0"/>
        <c:ser>
          <c:idx val="0"/>
          <c:order val="0"/>
          <c:tx>
            <c:strRef>
              <c:f>'print A1'!$D$18</c:f>
              <c:strCache>
                <c:ptCount val="1"/>
                <c:pt idx="0">
                  <c:v>Voorkómen: niet doen wat echt niet hoeft</c:v>
                </c:pt>
              </c:strCache>
            </c:strRef>
          </c:tx>
          <c:spPr>
            <a:solidFill>
              <a:schemeClr val="tx1">
                <a:lumMod val="75000"/>
                <a:lumOff val="25000"/>
              </a:schemeClr>
            </a:solidFill>
            <a:ln w="3175">
              <a:solidFill>
                <a:schemeClr val="lt1"/>
              </a:solidFill>
            </a:ln>
            <a:effectLst/>
          </c:spPr>
          <c:invertIfNegative val="0"/>
          <c:dPt>
            <c:idx val="1"/>
            <c:invertIfNegative val="0"/>
            <c:bubble3D val="0"/>
            <c:explosion val="1"/>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1-BE3F-468A-93B5-62AE4E60928B}"/>
              </c:ext>
            </c:extLst>
          </c:dPt>
          <c:dPt>
            <c:idx val="2"/>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3-BE3F-468A-93B5-62AE4E60928B}"/>
              </c:ext>
            </c:extLst>
          </c:dPt>
          <c:dPt>
            <c:idx val="3"/>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5-BE3F-468A-93B5-62AE4E60928B}"/>
              </c:ext>
            </c:extLst>
          </c:dPt>
          <c:dPt>
            <c:idx val="5"/>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7-BE3F-468A-93B5-62AE4E60928B}"/>
              </c:ext>
            </c:extLst>
          </c:dPt>
          <c:dPt>
            <c:idx val="6"/>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9-BE3F-468A-93B5-62AE4E60928B}"/>
              </c:ext>
            </c:extLst>
          </c:dPt>
          <c:dPt>
            <c:idx val="7"/>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B-BE3F-468A-93B5-62AE4E60928B}"/>
              </c:ext>
            </c:extLst>
          </c:dPt>
          <c:dPt>
            <c:idx val="8"/>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D-BE3F-468A-93B5-62AE4E60928B}"/>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A1'!$G$10</c:f>
              <c:strCache>
                <c:ptCount val="1"/>
                <c:pt idx="0">
                  <c:v>A1</c:v>
                </c:pt>
              </c:strCache>
            </c:strRef>
          </c:cat>
          <c:val>
            <c:numRef>
              <c:f>'print A1'!$Q$18</c:f>
              <c:numCache>
                <c:formatCode>0.0</c:formatCode>
                <c:ptCount val="1"/>
                <c:pt idx="0">
                  <c:v>0</c:v>
                </c:pt>
              </c:numCache>
            </c:numRef>
          </c:val>
          <c:extLst>
            <c:ext xmlns:c16="http://schemas.microsoft.com/office/drawing/2014/chart" uri="{C3380CC4-5D6E-409C-BE32-E72D297353CC}">
              <c16:uniqueId val="{0000000E-BE3F-468A-93B5-62AE4E60928B}"/>
            </c:ext>
          </c:extLst>
        </c:ser>
        <c:ser>
          <c:idx val="1"/>
          <c:order val="1"/>
          <c:tx>
            <c:strRef>
              <c:f>'print A1'!$D$20</c:f>
              <c:strCache>
                <c:ptCount val="1"/>
                <c:pt idx="0">
                  <c:v>Verleng de levensduur van bestaande objecten of componenten</c:v>
                </c:pt>
              </c:strCache>
            </c:strRef>
          </c:tx>
          <c:spPr>
            <a:solidFill>
              <a:srgbClr val="FF0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A1'!$G$10</c:f>
              <c:strCache>
                <c:ptCount val="1"/>
                <c:pt idx="0">
                  <c:v>A1</c:v>
                </c:pt>
              </c:strCache>
            </c:strRef>
          </c:cat>
          <c:val>
            <c:numRef>
              <c:f>'print A1'!$Q$20</c:f>
              <c:numCache>
                <c:formatCode>0.0</c:formatCode>
                <c:ptCount val="1"/>
                <c:pt idx="0">
                  <c:v>0</c:v>
                </c:pt>
              </c:numCache>
            </c:numRef>
          </c:val>
          <c:extLst>
            <c:ext xmlns:c16="http://schemas.microsoft.com/office/drawing/2014/chart" uri="{C3380CC4-5D6E-409C-BE32-E72D297353CC}">
              <c16:uniqueId val="{0000000F-BE3F-468A-93B5-62AE4E60928B}"/>
            </c:ext>
          </c:extLst>
        </c:ser>
        <c:ser>
          <c:idx val="2"/>
          <c:order val="2"/>
          <c:tx>
            <c:strRef>
              <c:f>'print A1'!$D$22</c:f>
              <c:strCache>
                <c:ptCount val="1"/>
                <c:pt idx="0">
                  <c:v>Duurzaam gebruik van bestaande objecten, materialen, grondstoffen en natuurlijke processen</c:v>
                </c:pt>
              </c:strCache>
            </c:strRef>
          </c:tx>
          <c:spPr>
            <a:solidFill>
              <a:srgbClr val="00B05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A1'!$G$10</c:f>
              <c:strCache>
                <c:ptCount val="1"/>
                <c:pt idx="0">
                  <c:v>A1</c:v>
                </c:pt>
              </c:strCache>
            </c:strRef>
          </c:cat>
          <c:val>
            <c:numRef>
              <c:f>'print A1'!$Q$22</c:f>
              <c:numCache>
                <c:formatCode>0.0</c:formatCode>
                <c:ptCount val="1"/>
                <c:pt idx="0">
                  <c:v>0</c:v>
                </c:pt>
              </c:numCache>
            </c:numRef>
          </c:val>
          <c:extLst>
            <c:ext xmlns:c16="http://schemas.microsoft.com/office/drawing/2014/chart" uri="{C3380CC4-5D6E-409C-BE32-E72D297353CC}">
              <c16:uniqueId val="{00000010-BE3F-468A-93B5-62AE4E60928B}"/>
            </c:ext>
          </c:extLst>
        </c:ser>
        <c:ser>
          <c:idx val="3"/>
          <c:order val="3"/>
          <c:tx>
            <c:strRef>
              <c:f>'print A1'!$D$26</c:f>
              <c:strCache>
                <c:ptCount val="1"/>
                <c:pt idx="0">
                  <c:v>Ontwerp voor meerdere levenscycli</c:v>
                </c:pt>
              </c:strCache>
            </c:strRef>
          </c:tx>
          <c:spPr>
            <a:solidFill>
              <a:srgbClr val="FFC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A1'!$G$10</c:f>
              <c:strCache>
                <c:ptCount val="1"/>
                <c:pt idx="0">
                  <c:v>A1</c:v>
                </c:pt>
              </c:strCache>
            </c:strRef>
          </c:cat>
          <c:val>
            <c:numRef>
              <c:f>'print A1'!$Q$26</c:f>
              <c:numCache>
                <c:formatCode>0.0</c:formatCode>
                <c:ptCount val="1"/>
                <c:pt idx="0">
                  <c:v>0</c:v>
                </c:pt>
              </c:numCache>
            </c:numRef>
          </c:val>
          <c:extLst>
            <c:ext xmlns:c16="http://schemas.microsoft.com/office/drawing/2014/chart" uri="{C3380CC4-5D6E-409C-BE32-E72D297353CC}">
              <c16:uniqueId val="{00000011-BE3F-468A-93B5-62AE4E60928B}"/>
            </c:ext>
          </c:extLst>
        </c:ser>
        <c:ser>
          <c:idx val="4"/>
          <c:order val="4"/>
          <c:tx>
            <c:strRef>
              <c:f>'print A1'!$D$29</c:f>
              <c:strCache>
                <c:ptCount val="1"/>
                <c:pt idx="0">
                  <c:v>Ontwerp toekomstbestendig</c:v>
                </c:pt>
              </c:strCache>
            </c:strRef>
          </c:tx>
          <c:spPr>
            <a:solidFill>
              <a:srgbClr val="000099"/>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A1'!$G$10</c:f>
              <c:strCache>
                <c:ptCount val="1"/>
                <c:pt idx="0">
                  <c:v>A1</c:v>
                </c:pt>
              </c:strCache>
            </c:strRef>
          </c:cat>
          <c:val>
            <c:numRef>
              <c:f>'print A1'!$Q$29</c:f>
              <c:numCache>
                <c:formatCode>0.0</c:formatCode>
                <c:ptCount val="1"/>
                <c:pt idx="0">
                  <c:v>0</c:v>
                </c:pt>
              </c:numCache>
            </c:numRef>
          </c:val>
          <c:extLst>
            <c:ext xmlns:c16="http://schemas.microsoft.com/office/drawing/2014/chart" uri="{C3380CC4-5D6E-409C-BE32-E72D297353CC}">
              <c16:uniqueId val="{00000012-BE3F-468A-93B5-62AE4E60928B}"/>
            </c:ext>
          </c:extLst>
        </c:ser>
        <c:ser>
          <c:idx val="5"/>
          <c:order val="5"/>
          <c:tx>
            <c:strRef>
              <c:f>'print A1'!$D$31</c:f>
              <c:strCache>
                <c:ptCount val="1"/>
                <c:pt idx="0">
                  <c:v>Ontwerp voor optimaal beheer en onderhoud </c:v>
                </c:pt>
              </c:strCache>
            </c:strRef>
          </c:tx>
          <c:spPr>
            <a:solidFill>
              <a:srgbClr val="6666FF"/>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A1'!$G$10</c:f>
              <c:strCache>
                <c:ptCount val="1"/>
                <c:pt idx="0">
                  <c:v>A1</c:v>
                </c:pt>
              </c:strCache>
            </c:strRef>
          </c:cat>
          <c:val>
            <c:numRef>
              <c:f>'print A1'!$Q$31</c:f>
              <c:numCache>
                <c:formatCode>0.0</c:formatCode>
                <c:ptCount val="1"/>
                <c:pt idx="0">
                  <c:v>0</c:v>
                </c:pt>
              </c:numCache>
            </c:numRef>
          </c:val>
          <c:extLst>
            <c:ext xmlns:c16="http://schemas.microsoft.com/office/drawing/2014/chart" uri="{C3380CC4-5D6E-409C-BE32-E72D297353CC}">
              <c16:uniqueId val="{00000013-BE3F-468A-93B5-62AE4E60928B}"/>
            </c:ext>
          </c:extLst>
        </c:ser>
        <c:ser>
          <c:idx val="6"/>
          <c:order val="6"/>
          <c:tx>
            <c:strRef>
              <c:f>'print A1'!$D$33</c:f>
              <c:strCache>
                <c:ptCount val="1"/>
                <c:pt idx="0">
                  <c:v>Duurzaam materiaalgebruik (hoeveel x milieubelasting)</c:v>
                </c:pt>
              </c:strCache>
            </c:strRef>
          </c:tx>
          <c:spPr>
            <a:solidFill>
              <a:srgbClr val="FF66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A1'!$G$10</c:f>
              <c:strCache>
                <c:ptCount val="1"/>
                <c:pt idx="0">
                  <c:v>A1</c:v>
                </c:pt>
              </c:strCache>
            </c:strRef>
          </c:cat>
          <c:val>
            <c:numRef>
              <c:f>'print A1'!$Q$33</c:f>
              <c:numCache>
                <c:formatCode>0.0</c:formatCode>
                <c:ptCount val="1"/>
                <c:pt idx="0">
                  <c:v>0</c:v>
                </c:pt>
              </c:numCache>
            </c:numRef>
          </c:val>
          <c:extLst>
            <c:ext xmlns:c16="http://schemas.microsoft.com/office/drawing/2014/chart" uri="{C3380CC4-5D6E-409C-BE32-E72D297353CC}">
              <c16:uniqueId val="{00000014-BE3F-468A-93B5-62AE4E60928B}"/>
            </c:ext>
          </c:extLst>
        </c:ser>
        <c:ser>
          <c:idx val="7"/>
          <c:order val="7"/>
          <c:tx>
            <c:strRef>
              <c:f>'print A1'!$D$36</c:f>
              <c:strCache>
                <c:ptCount val="1"/>
                <c:pt idx="0">
                  <c:v>Ontwerp voor minimaal grondstof- en energiegebruik in de aanleg/gebruiksfase</c:v>
                </c:pt>
              </c:strCache>
            </c:strRef>
          </c:tx>
          <c:spPr>
            <a:solidFill>
              <a:srgbClr val="C00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A1'!$G$10</c:f>
              <c:strCache>
                <c:ptCount val="1"/>
                <c:pt idx="0">
                  <c:v>A1</c:v>
                </c:pt>
              </c:strCache>
            </c:strRef>
          </c:cat>
          <c:val>
            <c:numRef>
              <c:f>'print A1'!$Q$36</c:f>
              <c:numCache>
                <c:formatCode>0.0</c:formatCode>
                <c:ptCount val="1"/>
                <c:pt idx="0">
                  <c:v>0</c:v>
                </c:pt>
              </c:numCache>
            </c:numRef>
          </c:val>
          <c:extLst>
            <c:ext xmlns:c16="http://schemas.microsoft.com/office/drawing/2014/chart" uri="{C3380CC4-5D6E-409C-BE32-E72D297353CC}">
              <c16:uniqueId val="{00000015-BE3F-468A-93B5-62AE4E60928B}"/>
            </c:ext>
          </c:extLst>
        </c:ser>
        <c:ser>
          <c:idx val="8"/>
          <c:order val="8"/>
          <c:tx>
            <c:strRef>
              <c:f>'print A1'!$C$39</c:f>
              <c:strCache>
                <c:ptCount val="1"/>
                <c:pt idx="0">
                  <c:v>bonus</c:v>
                </c:pt>
              </c:strCache>
            </c:strRef>
          </c:tx>
          <c:spPr>
            <a:pattFill prst="ltDnDiag">
              <a:fgClr>
                <a:schemeClr val="bg1">
                  <a:lumMod val="65000"/>
                </a:schemeClr>
              </a:fgClr>
              <a:bgClr>
                <a:schemeClr val="bg1"/>
              </a:bgClr>
            </a:patt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A1'!$G$10</c:f>
              <c:strCache>
                <c:ptCount val="1"/>
                <c:pt idx="0">
                  <c:v>A1</c:v>
                </c:pt>
              </c:strCache>
            </c:strRef>
          </c:cat>
          <c:val>
            <c:numRef>
              <c:f>'print A1'!$Q$39</c:f>
              <c:numCache>
                <c:formatCode>0.0</c:formatCode>
                <c:ptCount val="1"/>
                <c:pt idx="0">
                  <c:v>0</c:v>
                </c:pt>
              </c:numCache>
            </c:numRef>
          </c:val>
          <c:extLst>
            <c:ext xmlns:c16="http://schemas.microsoft.com/office/drawing/2014/chart" uri="{C3380CC4-5D6E-409C-BE32-E72D297353CC}">
              <c16:uniqueId val="{00000016-BE3F-468A-93B5-62AE4E60928B}"/>
            </c:ext>
          </c:extLst>
        </c:ser>
        <c:ser>
          <c:idx val="9"/>
          <c:order val="9"/>
          <c:tx>
            <c:strRef>
              <c:f>'print A1'!$D$41</c:f>
              <c:strCache>
                <c:ptCount val="1"/>
              </c:strCache>
            </c:strRef>
          </c:tx>
          <c:spPr>
            <a:solidFill>
              <a:srgbClr val="FFFFFF">
                <a:alpha val="30000"/>
              </a:srgbClr>
            </a:solidFill>
            <a:ln w="19050">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1" u="none" strike="noStrike" kern="1200" baseline="0">
                    <a:solidFill>
                      <a:schemeClr val="bg1">
                        <a:lumMod val="7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A1'!$G$10</c:f>
              <c:strCache>
                <c:ptCount val="1"/>
                <c:pt idx="0">
                  <c:v>A1</c:v>
                </c:pt>
              </c:strCache>
            </c:strRef>
          </c:cat>
          <c:val>
            <c:numRef>
              <c:f>'print A1'!$Q$41</c:f>
              <c:numCache>
                <c:formatCode>0</c:formatCode>
                <c:ptCount val="1"/>
                <c:pt idx="0">
                  <c:v>0</c:v>
                </c:pt>
              </c:numCache>
            </c:numRef>
          </c:val>
          <c:extLst>
            <c:ext xmlns:c16="http://schemas.microsoft.com/office/drawing/2014/chart" uri="{C3380CC4-5D6E-409C-BE32-E72D297353CC}">
              <c16:uniqueId val="{00000017-BE3F-468A-93B5-62AE4E60928B}"/>
            </c:ext>
          </c:extLst>
        </c:ser>
        <c:dLbls>
          <c:showLegendKey val="0"/>
          <c:showVal val="0"/>
          <c:showCatName val="0"/>
          <c:showSerName val="0"/>
          <c:showPercent val="0"/>
          <c:showBubbleSize val="0"/>
        </c:dLbls>
        <c:gapWidth val="100"/>
        <c:overlap val="100"/>
        <c:axId val="620689312"/>
        <c:axId val="620691280"/>
      </c:barChart>
      <c:catAx>
        <c:axId val="62068931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endParaRPr lang="nl-NL"/>
          </a:p>
        </c:txPr>
        <c:crossAx val="620691280"/>
        <c:crosses val="autoZero"/>
        <c:auto val="1"/>
        <c:lblAlgn val="ctr"/>
        <c:lblOffset val="100"/>
        <c:noMultiLvlLbl val="0"/>
      </c:catAx>
      <c:valAx>
        <c:axId val="620691280"/>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nl-NL" sz="1400"/>
                  <a:t>Circulair Peil Index (CPI)</a:t>
                </a:r>
                <a:r>
                  <a:rPr lang="nl-NL" sz="1400" baseline="0"/>
                  <a:t>  (max 100)</a:t>
                </a:r>
                <a:endParaRPr lang="nl-NL" sz="1400"/>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620689312"/>
        <c:crosses val="autoZero"/>
        <c:crossBetween val="between"/>
        <c:majorUnit val="20"/>
      </c:valAx>
      <c:spPr>
        <a:gradFill>
          <a:gsLst>
            <a:gs pos="25000">
              <a:srgbClr val="FFFF00">
                <a:alpha val="30000"/>
              </a:srgbClr>
            </a:gs>
            <a:gs pos="15000">
              <a:srgbClr val="92D050">
                <a:alpha val="30000"/>
              </a:srgbClr>
            </a:gs>
            <a:gs pos="5000">
              <a:srgbClr val="00B050">
                <a:alpha val="30000"/>
              </a:srgbClr>
            </a:gs>
            <a:gs pos="33000">
              <a:srgbClr val="FFC000">
                <a:alpha val="30000"/>
              </a:srgbClr>
            </a:gs>
            <a:gs pos="43000">
              <a:srgbClr val="FF0000">
                <a:alpha val="30000"/>
              </a:srgbClr>
            </a:gs>
            <a:gs pos="100000">
              <a:srgbClr val="C00000">
                <a:alpha val="3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sz="1400"/>
              <a:t>Referentiemonitor Reductie Milieukosten / Circulariteit / CO2</a:t>
            </a:r>
          </a:p>
        </c:rich>
      </c:tx>
      <c:layout>
        <c:manualLayout>
          <c:xMode val="edge"/>
          <c:yMode val="edge"/>
          <c:x val="0.23003133202099738"/>
          <c:y val="2.7777880267646139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spPr>
            <a:solidFill>
              <a:schemeClr val="accent1"/>
            </a:solidFill>
            <a:ln>
              <a:solidFill>
                <a:srgbClr val="FFFFFF"/>
              </a:solidFill>
            </a:ln>
            <a:effectLst/>
          </c:spPr>
          <c:invertIfNegative val="0"/>
          <c:dPt>
            <c:idx val="0"/>
            <c:invertIfNegative val="0"/>
            <c:bubble3D val="0"/>
            <c:spPr>
              <a:solidFill>
                <a:srgbClr val="92D050"/>
              </a:solidFill>
              <a:ln>
                <a:solidFill>
                  <a:srgbClr val="FFFFFF"/>
                </a:solidFill>
              </a:ln>
              <a:effectLst/>
            </c:spPr>
            <c:extLst>
              <c:ext xmlns:c16="http://schemas.microsoft.com/office/drawing/2014/chart" uri="{C3380CC4-5D6E-409C-BE32-E72D297353CC}">
                <c16:uniqueId val="{00000001-72DE-4B28-ACEC-D64C1D402509}"/>
              </c:ext>
            </c:extLst>
          </c:dPt>
          <c:dPt>
            <c:idx val="1"/>
            <c:invertIfNegative val="0"/>
            <c:bubble3D val="0"/>
            <c:spPr>
              <a:solidFill>
                <a:srgbClr val="00B0F0"/>
              </a:solidFill>
              <a:ln>
                <a:solidFill>
                  <a:srgbClr val="FFFFFF"/>
                </a:solidFill>
              </a:ln>
              <a:effectLst/>
            </c:spPr>
            <c:extLst>
              <c:ext xmlns:c16="http://schemas.microsoft.com/office/drawing/2014/chart" uri="{C3380CC4-5D6E-409C-BE32-E72D297353CC}">
                <c16:uniqueId val="{00000003-72DE-4B28-ACEC-D64C1D402509}"/>
              </c:ext>
            </c:extLst>
          </c:dPt>
          <c:dPt>
            <c:idx val="2"/>
            <c:invertIfNegative val="0"/>
            <c:bubble3D val="0"/>
            <c:spPr>
              <a:solidFill>
                <a:srgbClr val="FF0000"/>
              </a:solidFill>
              <a:ln>
                <a:solidFill>
                  <a:srgbClr val="FFFFFF"/>
                </a:solidFill>
              </a:ln>
              <a:effectLst/>
            </c:spPr>
            <c:extLst>
              <c:ext xmlns:c16="http://schemas.microsoft.com/office/drawing/2014/chart" uri="{C3380CC4-5D6E-409C-BE32-E72D297353CC}">
                <c16:uniqueId val="{00000005-72DE-4B28-ACEC-D64C1D402509}"/>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('A1'!$AN$67,'A1'!$AN$71,'A1'!$AN$75)</c:f>
              <c:strCache>
                <c:ptCount val="3"/>
                <c:pt idx="0">
                  <c:v>MKI reductie t.o.v. referentie € </c:v>
                </c:pt>
                <c:pt idx="1">
                  <c:v>MCI reductie t.o.v. referentie  [-]</c:v>
                </c:pt>
                <c:pt idx="2">
                  <c:v>CO2 reductie t.o.v. referentie  tonCO2</c:v>
                </c:pt>
              </c:strCache>
            </c:strRef>
          </c:cat>
          <c:val>
            <c:numRef>
              <c:f>('A1'!$AP$67,'A1'!$AP$71,'A1'!$AP$75)</c:f>
              <c:numCache>
                <c:formatCode>0%</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6-72DE-4B28-ACEC-D64C1D402509}"/>
            </c:ext>
          </c:extLst>
        </c:ser>
        <c:dLbls>
          <c:showLegendKey val="0"/>
          <c:showVal val="0"/>
          <c:showCatName val="0"/>
          <c:showSerName val="0"/>
          <c:showPercent val="0"/>
          <c:showBubbleSize val="0"/>
        </c:dLbls>
        <c:gapWidth val="50"/>
        <c:overlap val="10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nl-NL" sz="1400" baseline="0"/>
                  <a:t> Reductie MKI / MCI / CO2 [%]</a:t>
                </a:r>
                <a:endParaRPr lang="nl-NL" sz="1400"/>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gradFill>
          <a:gsLst>
            <a:gs pos="60000">
              <a:srgbClr val="FFFF00">
                <a:alpha val="50196"/>
              </a:srgbClr>
            </a:gs>
            <a:gs pos="29000">
              <a:srgbClr val="92D050">
                <a:alpha val="50196"/>
              </a:srgbClr>
            </a:gs>
            <a:gs pos="10000">
              <a:srgbClr val="00B050">
                <a:alpha val="50196"/>
              </a:srgbClr>
            </a:gs>
            <a:gs pos="70000">
              <a:srgbClr val="FFC000">
                <a:alpha val="50000"/>
              </a:srgbClr>
            </a:gs>
            <a:gs pos="8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Procesmonitor Circulaire Peiler </a:t>
            </a:r>
          </a:p>
        </c:rich>
      </c:tx>
      <c:layout>
        <c:manualLayout>
          <c:xMode val="edge"/>
          <c:yMode val="edge"/>
          <c:x val="0.21479672880644757"/>
          <c:y val="0"/>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30726632190985825"/>
          <c:y val="8.0681475924485352E-2"/>
          <c:w val="0.64515478636158052"/>
          <c:h val="0.84373596849922305"/>
        </c:manualLayout>
      </c:layout>
      <c:barChart>
        <c:barDir val="col"/>
        <c:grouping val="stacked"/>
        <c:varyColors val="0"/>
        <c:ser>
          <c:idx val="0"/>
          <c:order val="0"/>
          <c:tx>
            <c:strRef>
              <c:f>'print B1'!$D$18</c:f>
              <c:strCache>
                <c:ptCount val="1"/>
                <c:pt idx="0">
                  <c:v>Voorkómen: niet doen wat echt niet hoeft</c:v>
                </c:pt>
              </c:strCache>
            </c:strRef>
          </c:tx>
          <c:spPr>
            <a:solidFill>
              <a:schemeClr val="tx1">
                <a:lumMod val="75000"/>
                <a:lumOff val="25000"/>
              </a:schemeClr>
            </a:solidFill>
            <a:ln w="3175">
              <a:solidFill>
                <a:schemeClr val="lt1"/>
              </a:solidFill>
            </a:ln>
            <a:effectLst/>
          </c:spPr>
          <c:invertIfNegative val="0"/>
          <c:dPt>
            <c:idx val="1"/>
            <c:invertIfNegative val="0"/>
            <c:bubble3D val="0"/>
            <c:explosion val="1"/>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1-36EA-4064-9B06-F31ABB0ABA6D}"/>
              </c:ext>
            </c:extLst>
          </c:dPt>
          <c:dPt>
            <c:idx val="2"/>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3-36EA-4064-9B06-F31ABB0ABA6D}"/>
              </c:ext>
            </c:extLst>
          </c:dPt>
          <c:dPt>
            <c:idx val="3"/>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5-36EA-4064-9B06-F31ABB0ABA6D}"/>
              </c:ext>
            </c:extLst>
          </c:dPt>
          <c:dPt>
            <c:idx val="5"/>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7-36EA-4064-9B06-F31ABB0ABA6D}"/>
              </c:ext>
            </c:extLst>
          </c:dPt>
          <c:dPt>
            <c:idx val="6"/>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9-36EA-4064-9B06-F31ABB0ABA6D}"/>
              </c:ext>
            </c:extLst>
          </c:dPt>
          <c:dPt>
            <c:idx val="7"/>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B-36EA-4064-9B06-F31ABB0ABA6D}"/>
              </c:ext>
            </c:extLst>
          </c:dPt>
          <c:dPt>
            <c:idx val="8"/>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D-36EA-4064-9B06-F31ABB0ABA6D}"/>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B1'!$G$10</c:f>
              <c:strCache>
                <c:ptCount val="1"/>
                <c:pt idx="0">
                  <c:v>B1</c:v>
                </c:pt>
              </c:strCache>
            </c:strRef>
          </c:cat>
          <c:val>
            <c:numRef>
              <c:f>'print B1'!$Q$18</c:f>
              <c:numCache>
                <c:formatCode>0.0</c:formatCode>
                <c:ptCount val="1"/>
                <c:pt idx="0">
                  <c:v>0</c:v>
                </c:pt>
              </c:numCache>
            </c:numRef>
          </c:val>
          <c:extLst>
            <c:ext xmlns:c16="http://schemas.microsoft.com/office/drawing/2014/chart" uri="{C3380CC4-5D6E-409C-BE32-E72D297353CC}">
              <c16:uniqueId val="{0000000E-36EA-4064-9B06-F31ABB0ABA6D}"/>
            </c:ext>
          </c:extLst>
        </c:ser>
        <c:ser>
          <c:idx val="1"/>
          <c:order val="1"/>
          <c:tx>
            <c:strRef>
              <c:f>'print B1'!$D$20</c:f>
              <c:strCache>
                <c:ptCount val="1"/>
                <c:pt idx="0">
                  <c:v>Verleng de levensduur van bestaande objecten of componenten</c:v>
                </c:pt>
              </c:strCache>
            </c:strRef>
          </c:tx>
          <c:spPr>
            <a:solidFill>
              <a:srgbClr val="FF0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B1'!$G$10</c:f>
              <c:strCache>
                <c:ptCount val="1"/>
                <c:pt idx="0">
                  <c:v>B1</c:v>
                </c:pt>
              </c:strCache>
            </c:strRef>
          </c:cat>
          <c:val>
            <c:numRef>
              <c:f>'print B1'!$Q$20</c:f>
              <c:numCache>
                <c:formatCode>0.0</c:formatCode>
                <c:ptCount val="1"/>
                <c:pt idx="0">
                  <c:v>0</c:v>
                </c:pt>
              </c:numCache>
            </c:numRef>
          </c:val>
          <c:extLst>
            <c:ext xmlns:c16="http://schemas.microsoft.com/office/drawing/2014/chart" uri="{C3380CC4-5D6E-409C-BE32-E72D297353CC}">
              <c16:uniqueId val="{0000000F-36EA-4064-9B06-F31ABB0ABA6D}"/>
            </c:ext>
          </c:extLst>
        </c:ser>
        <c:ser>
          <c:idx val="2"/>
          <c:order val="2"/>
          <c:tx>
            <c:strRef>
              <c:f>'print B1'!$D$22</c:f>
              <c:strCache>
                <c:ptCount val="1"/>
                <c:pt idx="0">
                  <c:v>Duurzaam gebruik van bestaande objecten, materialen, grondstoffen en natuurlijke processen</c:v>
                </c:pt>
              </c:strCache>
            </c:strRef>
          </c:tx>
          <c:spPr>
            <a:solidFill>
              <a:srgbClr val="00B05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B1'!$G$10</c:f>
              <c:strCache>
                <c:ptCount val="1"/>
                <c:pt idx="0">
                  <c:v>B1</c:v>
                </c:pt>
              </c:strCache>
            </c:strRef>
          </c:cat>
          <c:val>
            <c:numRef>
              <c:f>'print B1'!$Q$22</c:f>
              <c:numCache>
                <c:formatCode>0.0</c:formatCode>
                <c:ptCount val="1"/>
                <c:pt idx="0">
                  <c:v>0</c:v>
                </c:pt>
              </c:numCache>
            </c:numRef>
          </c:val>
          <c:extLst>
            <c:ext xmlns:c16="http://schemas.microsoft.com/office/drawing/2014/chart" uri="{C3380CC4-5D6E-409C-BE32-E72D297353CC}">
              <c16:uniqueId val="{00000010-36EA-4064-9B06-F31ABB0ABA6D}"/>
            </c:ext>
          </c:extLst>
        </c:ser>
        <c:ser>
          <c:idx val="3"/>
          <c:order val="3"/>
          <c:tx>
            <c:strRef>
              <c:f>'print B1'!$D$26</c:f>
              <c:strCache>
                <c:ptCount val="1"/>
                <c:pt idx="0">
                  <c:v>Ontwerp voor meerdere levenscycli</c:v>
                </c:pt>
              </c:strCache>
            </c:strRef>
          </c:tx>
          <c:spPr>
            <a:solidFill>
              <a:srgbClr val="FFC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B1'!$G$10</c:f>
              <c:strCache>
                <c:ptCount val="1"/>
                <c:pt idx="0">
                  <c:v>B1</c:v>
                </c:pt>
              </c:strCache>
            </c:strRef>
          </c:cat>
          <c:val>
            <c:numRef>
              <c:f>'print B1'!$Q$26</c:f>
              <c:numCache>
                <c:formatCode>0.0</c:formatCode>
                <c:ptCount val="1"/>
                <c:pt idx="0">
                  <c:v>0</c:v>
                </c:pt>
              </c:numCache>
            </c:numRef>
          </c:val>
          <c:extLst>
            <c:ext xmlns:c16="http://schemas.microsoft.com/office/drawing/2014/chart" uri="{C3380CC4-5D6E-409C-BE32-E72D297353CC}">
              <c16:uniqueId val="{00000011-36EA-4064-9B06-F31ABB0ABA6D}"/>
            </c:ext>
          </c:extLst>
        </c:ser>
        <c:ser>
          <c:idx val="4"/>
          <c:order val="4"/>
          <c:tx>
            <c:strRef>
              <c:f>'print B1'!$D$29</c:f>
              <c:strCache>
                <c:ptCount val="1"/>
                <c:pt idx="0">
                  <c:v>Ontwerp toekomstbestendig</c:v>
                </c:pt>
              </c:strCache>
            </c:strRef>
          </c:tx>
          <c:spPr>
            <a:solidFill>
              <a:srgbClr val="000099"/>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B1'!$G$10</c:f>
              <c:strCache>
                <c:ptCount val="1"/>
                <c:pt idx="0">
                  <c:v>B1</c:v>
                </c:pt>
              </c:strCache>
            </c:strRef>
          </c:cat>
          <c:val>
            <c:numRef>
              <c:f>'print B1'!$Q$29</c:f>
              <c:numCache>
                <c:formatCode>0.0</c:formatCode>
                <c:ptCount val="1"/>
                <c:pt idx="0">
                  <c:v>0</c:v>
                </c:pt>
              </c:numCache>
            </c:numRef>
          </c:val>
          <c:extLst>
            <c:ext xmlns:c16="http://schemas.microsoft.com/office/drawing/2014/chart" uri="{C3380CC4-5D6E-409C-BE32-E72D297353CC}">
              <c16:uniqueId val="{00000012-36EA-4064-9B06-F31ABB0ABA6D}"/>
            </c:ext>
          </c:extLst>
        </c:ser>
        <c:ser>
          <c:idx val="5"/>
          <c:order val="5"/>
          <c:tx>
            <c:strRef>
              <c:f>'print B1'!$D$31</c:f>
              <c:strCache>
                <c:ptCount val="1"/>
                <c:pt idx="0">
                  <c:v>Ontwerp voor optimaal beheer en onderhoud </c:v>
                </c:pt>
              </c:strCache>
            </c:strRef>
          </c:tx>
          <c:spPr>
            <a:solidFill>
              <a:srgbClr val="6666FF"/>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B1'!$G$10</c:f>
              <c:strCache>
                <c:ptCount val="1"/>
                <c:pt idx="0">
                  <c:v>B1</c:v>
                </c:pt>
              </c:strCache>
            </c:strRef>
          </c:cat>
          <c:val>
            <c:numRef>
              <c:f>'print B1'!$Q$31</c:f>
              <c:numCache>
                <c:formatCode>0.0</c:formatCode>
                <c:ptCount val="1"/>
                <c:pt idx="0">
                  <c:v>0</c:v>
                </c:pt>
              </c:numCache>
            </c:numRef>
          </c:val>
          <c:extLst>
            <c:ext xmlns:c16="http://schemas.microsoft.com/office/drawing/2014/chart" uri="{C3380CC4-5D6E-409C-BE32-E72D297353CC}">
              <c16:uniqueId val="{00000013-36EA-4064-9B06-F31ABB0ABA6D}"/>
            </c:ext>
          </c:extLst>
        </c:ser>
        <c:ser>
          <c:idx val="6"/>
          <c:order val="6"/>
          <c:tx>
            <c:strRef>
              <c:f>'print B1'!$D$33</c:f>
              <c:strCache>
                <c:ptCount val="1"/>
                <c:pt idx="0">
                  <c:v>Duurzaam materiaalgebruik (hoeveel x milieubelasting)</c:v>
                </c:pt>
              </c:strCache>
            </c:strRef>
          </c:tx>
          <c:spPr>
            <a:solidFill>
              <a:srgbClr val="FF66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B1'!$G$10</c:f>
              <c:strCache>
                <c:ptCount val="1"/>
                <c:pt idx="0">
                  <c:v>B1</c:v>
                </c:pt>
              </c:strCache>
            </c:strRef>
          </c:cat>
          <c:val>
            <c:numRef>
              <c:f>'print B1'!$Q$33</c:f>
              <c:numCache>
                <c:formatCode>0.0</c:formatCode>
                <c:ptCount val="1"/>
                <c:pt idx="0">
                  <c:v>0</c:v>
                </c:pt>
              </c:numCache>
            </c:numRef>
          </c:val>
          <c:extLst>
            <c:ext xmlns:c16="http://schemas.microsoft.com/office/drawing/2014/chart" uri="{C3380CC4-5D6E-409C-BE32-E72D297353CC}">
              <c16:uniqueId val="{00000014-36EA-4064-9B06-F31ABB0ABA6D}"/>
            </c:ext>
          </c:extLst>
        </c:ser>
        <c:ser>
          <c:idx val="7"/>
          <c:order val="7"/>
          <c:tx>
            <c:strRef>
              <c:f>'print B1'!$D$36</c:f>
              <c:strCache>
                <c:ptCount val="1"/>
                <c:pt idx="0">
                  <c:v>Ontwerp voor minimaal grondstof- en energiegebruik in de aanleg/gebruiksfase</c:v>
                </c:pt>
              </c:strCache>
            </c:strRef>
          </c:tx>
          <c:spPr>
            <a:solidFill>
              <a:srgbClr val="C00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B1'!$G$10</c:f>
              <c:strCache>
                <c:ptCount val="1"/>
                <c:pt idx="0">
                  <c:v>B1</c:v>
                </c:pt>
              </c:strCache>
            </c:strRef>
          </c:cat>
          <c:val>
            <c:numRef>
              <c:f>'print B1'!$Q$36</c:f>
              <c:numCache>
                <c:formatCode>0.0</c:formatCode>
                <c:ptCount val="1"/>
                <c:pt idx="0">
                  <c:v>0</c:v>
                </c:pt>
              </c:numCache>
            </c:numRef>
          </c:val>
          <c:extLst>
            <c:ext xmlns:c16="http://schemas.microsoft.com/office/drawing/2014/chart" uri="{C3380CC4-5D6E-409C-BE32-E72D297353CC}">
              <c16:uniqueId val="{00000015-36EA-4064-9B06-F31ABB0ABA6D}"/>
            </c:ext>
          </c:extLst>
        </c:ser>
        <c:ser>
          <c:idx val="8"/>
          <c:order val="8"/>
          <c:tx>
            <c:strRef>
              <c:f>'print B1'!$C$39</c:f>
              <c:strCache>
                <c:ptCount val="1"/>
                <c:pt idx="0">
                  <c:v>bonus</c:v>
                </c:pt>
              </c:strCache>
            </c:strRef>
          </c:tx>
          <c:spPr>
            <a:pattFill prst="ltDnDiag">
              <a:fgClr>
                <a:schemeClr val="bg1">
                  <a:lumMod val="65000"/>
                </a:schemeClr>
              </a:fgClr>
              <a:bgClr>
                <a:schemeClr val="bg1"/>
              </a:bgClr>
            </a:patt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B1'!$G$10</c:f>
              <c:strCache>
                <c:ptCount val="1"/>
                <c:pt idx="0">
                  <c:v>B1</c:v>
                </c:pt>
              </c:strCache>
            </c:strRef>
          </c:cat>
          <c:val>
            <c:numRef>
              <c:f>'print B1'!$Q$39</c:f>
              <c:numCache>
                <c:formatCode>0.0</c:formatCode>
                <c:ptCount val="1"/>
                <c:pt idx="0">
                  <c:v>0</c:v>
                </c:pt>
              </c:numCache>
            </c:numRef>
          </c:val>
          <c:extLst>
            <c:ext xmlns:c16="http://schemas.microsoft.com/office/drawing/2014/chart" uri="{C3380CC4-5D6E-409C-BE32-E72D297353CC}">
              <c16:uniqueId val="{00000016-36EA-4064-9B06-F31ABB0ABA6D}"/>
            </c:ext>
          </c:extLst>
        </c:ser>
        <c:ser>
          <c:idx val="9"/>
          <c:order val="9"/>
          <c:tx>
            <c:strRef>
              <c:f>'print B1'!$D$41</c:f>
              <c:strCache>
                <c:ptCount val="1"/>
              </c:strCache>
            </c:strRef>
          </c:tx>
          <c:spPr>
            <a:solidFill>
              <a:srgbClr val="FFFFFF">
                <a:alpha val="30000"/>
              </a:srgbClr>
            </a:solidFill>
            <a:ln w="19050">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1" u="none" strike="noStrike" kern="1200" baseline="0">
                    <a:solidFill>
                      <a:schemeClr val="bg1">
                        <a:lumMod val="7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B1'!$G$10</c:f>
              <c:strCache>
                <c:ptCount val="1"/>
                <c:pt idx="0">
                  <c:v>B1</c:v>
                </c:pt>
              </c:strCache>
            </c:strRef>
          </c:cat>
          <c:val>
            <c:numRef>
              <c:f>'print B1'!$Q$41</c:f>
              <c:numCache>
                <c:formatCode>0</c:formatCode>
                <c:ptCount val="1"/>
                <c:pt idx="0">
                  <c:v>0</c:v>
                </c:pt>
              </c:numCache>
            </c:numRef>
          </c:val>
          <c:extLst>
            <c:ext xmlns:c16="http://schemas.microsoft.com/office/drawing/2014/chart" uri="{C3380CC4-5D6E-409C-BE32-E72D297353CC}">
              <c16:uniqueId val="{00000017-36EA-4064-9B06-F31ABB0ABA6D}"/>
            </c:ext>
          </c:extLst>
        </c:ser>
        <c:dLbls>
          <c:showLegendKey val="0"/>
          <c:showVal val="0"/>
          <c:showCatName val="0"/>
          <c:showSerName val="0"/>
          <c:showPercent val="0"/>
          <c:showBubbleSize val="0"/>
        </c:dLbls>
        <c:gapWidth val="100"/>
        <c:overlap val="100"/>
        <c:axId val="620689312"/>
        <c:axId val="620691280"/>
      </c:barChart>
      <c:catAx>
        <c:axId val="62068931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endParaRPr lang="nl-NL"/>
          </a:p>
        </c:txPr>
        <c:crossAx val="620691280"/>
        <c:crosses val="autoZero"/>
        <c:auto val="1"/>
        <c:lblAlgn val="ctr"/>
        <c:lblOffset val="100"/>
        <c:noMultiLvlLbl val="0"/>
      </c:catAx>
      <c:valAx>
        <c:axId val="620691280"/>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nl-NL" sz="1400"/>
                  <a:t>Circulair Peil Index (CPI)</a:t>
                </a:r>
                <a:r>
                  <a:rPr lang="nl-NL" sz="1400" baseline="0"/>
                  <a:t>  (max 100)</a:t>
                </a:r>
                <a:endParaRPr lang="nl-NL" sz="1400"/>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620689312"/>
        <c:crosses val="autoZero"/>
        <c:crossBetween val="between"/>
        <c:majorUnit val="20"/>
      </c:valAx>
      <c:spPr>
        <a:gradFill>
          <a:gsLst>
            <a:gs pos="25000">
              <a:srgbClr val="FFFF00">
                <a:alpha val="30000"/>
              </a:srgbClr>
            </a:gs>
            <a:gs pos="15000">
              <a:srgbClr val="92D050">
                <a:alpha val="30000"/>
              </a:srgbClr>
            </a:gs>
            <a:gs pos="5000">
              <a:srgbClr val="00B050">
                <a:alpha val="30000"/>
              </a:srgbClr>
            </a:gs>
            <a:gs pos="33000">
              <a:srgbClr val="FFC000">
                <a:alpha val="30000"/>
              </a:srgbClr>
            </a:gs>
            <a:gs pos="43000">
              <a:srgbClr val="FF0000">
                <a:alpha val="30000"/>
              </a:srgbClr>
            </a:gs>
            <a:gs pos="100000">
              <a:srgbClr val="C00000">
                <a:alpha val="3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sz="1400"/>
              <a:t>Referentiemonitor Reductie Milieukosten / Circulariteit / CO2</a:t>
            </a:r>
          </a:p>
        </c:rich>
      </c:tx>
      <c:layout>
        <c:manualLayout>
          <c:xMode val="edge"/>
          <c:yMode val="edge"/>
          <c:x val="0.23003133202099738"/>
          <c:y val="2.7777880267646139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('B1'!$AN$67,'B1'!$AN$71,'B1'!$AN$75)</c:f>
              <c:strCache>
                <c:ptCount val="3"/>
                <c:pt idx="0">
                  <c:v>MKI reductie t.o.v. referentie € </c:v>
                </c:pt>
                <c:pt idx="1">
                  <c:v>MCI reductie t.o.v. referentie  [-]</c:v>
                </c:pt>
                <c:pt idx="2">
                  <c:v>CO2 reductie t.o.v. referentie  tonCO2</c:v>
                </c:pt>
              </c:strCache>
            </c:strRef>
          </c:cat>
          <c:val>
            <c:numRef>
              <c:f>('B1'!$AO$67,'B1'!$AO$71,'B1'!$AO$75)</c:f>
            </c:numRef>
          </c:val>
          <c:extLst xmlns:c15="http://schemas.microsoft.com/office/drawing/2012/chart">
            <c:ext xmlns:c16="http://schemas.microsoft.com/office/drawing/2014/chart" uri="{C3380CC4-5D6E-409C-BE32-E72D297353CC}">
              <c16:uniqueId val="{00000006-B3CE-4FD9-BAA5-3C037361FE5C}"/>
            </c:ext>
          </c:extLst>
        </c:ser>
        <c:ser>
          <c:idx val="1"/>
          <c:order val="1"/>
          <c:spPr>
            <a:solidFill>
              <a:schemeClr val="accent2"/>
            </a:solidFill>
            <a:ln>
              <a:solidFill>
                <a:srgbClr val="FFFFFF"/>
              </a:solidFill>
            </a:ln>
            <a:effectLst/>
          </c:spPr>
          <c:invertIfNegative val="0"/>
          <c:dPt>
            <c:idx val="0"/>
            <c:invertIfNegative val="0"/>
            <c:bubble3D val="0"/>
            <c:spPr>
              <a:solidFill>
                <a:srgbClr val="92D050"/>
              </a:solidFill>
              <a:ln>
                <a:solidFill>
                  <a:srgbClr val="FFFFFF"/>
                </a:solidFill>
              </a:ln>
              <a:effectLst/>
            </c:spPr>
            <c:extLst>
              <c:ext xmlns:c16="http://schemas.microsoft.com/office/drawing/2014/chart" uri="{C3380CC4-5D6E-409C-BE32-E72D297353CC}">
                <c16:uniqueId val="{00000001-EBFB-4D41-ADCF-0939558E8E95}"/>
              </c:ext>
            </c:extLst>
          </c:dPt>
          <c:dPt>
            <c:idx val="1"/>
            <c:invertIfNegative val="0"/>
            <c:bubble3D val="0"/>
            <c:spPr>
              <a:solidFill>
                <a:srgbClr val="00B0F0"/>
              </a:solidFill>
              <a:ln>
                <a:solidFill>
                  <a:srgbClr val="FFFFFF"/>
                </a:solidFill>
              </a:ln>
              <a:effectLst/>
            </c:spPr>
            <c:extLst>
              <c:ext xmlns:c16="http://schemas.microsoft.com/office/drawing/2014/chart" uri="{C3380CC4-5D6E-409C-BE32-E72D297353CC}">
                <c16:uniqueId val="{00000003-EBFB-4D41-ADCF-0939558E8E95}"/>
              </c:ext>
            </c:extLst>
          </c:dPt>
          <c:dPt>
            <c:idx val="2"/>
            <c:invertIfNegative val="0"/>
            <c:bubble3D val="0"/>
            <c:spPr>
              <a:solidFill>
                <a:srgbClr val="FF0000"/>
              </a:solidFill>
              <a:ln>
                <a:solidFill>
                  <a:srgbClr val="FFFFFF"/>
                </a:solidFill>
              </a:ln>
              <a:effectLst/>
            </c:spPr>
            <c:extLst>
              <c:ext xmlns:c16="http://schemas.microsoft.com/office/drawing/2014/chart" uri="{C3380CC4-5D6E-409C-BE32-E72D297353CC}">
                <c16:uniqueId val="{00000005-EBFB-4D41-ADCF-0939558E8E95}"/>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('B1'!$AN$67,'B1'!$AN$71,'B1'!$AN$75)</c:f>
              <c:strCache>
                <c:ptCount val="3"/>
                <c:pt idx="0">
                  <c:v>MKI reductie t.o.v. referentie € </c:v>
                </c:pt>
                <c:pt idx="1">
                  <c:v>MCI reductie t.o.v. referentie  [-]</c:v>
                </c:pt>
                <c:pt idx="2">
                  <c:v>CO2 reductie t.o.v. referentie  tonCO2</c:v>
                </c:pt>
              </c:strCache>
            </c:strRef>
          </c:cat>
          <c:val>
            <c:numRef>
              <c:f>('B1'!$AP$67,'B1'!$AP$71,'B1'!$AP$75)</c:f>
              <c:numCache>
                <c:formatCode>0%</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7-B3CE-4FD9-BAA5-3C037361FE5C}"/>
            </c:ext>
          </c:extLst>
        </c:ser>
        <c:dLbls>
          <c:showLegendKey val="0"/>
          <c:showVal val="0"/>
          <c:showCatName val="0"/>
          <c:showSerName val="0"/>
          <c:showPercent val="0"/>
          <c:showBubbleSize val="0"/>
        </c:dLbls>
        <c:gapWidth val="50"/>
        <c:overlap val="10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nl-NL" sz="1400" baseline="0"/>
                  <a:t> Reductie MKI / MCI / CO2 [%]</a:t>
                </a:r>
                <a:endParaRPr lang="nl-NL" sz="1400"/>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gradFill>
          <a:gsLst>
            <a:gs pos="60000">
              <a:srgbClr val="FFFF00">
                <a:alpha val="50196"/>
              </a:srgbClr>
            </a:gs>
            <a:gs pos="29000">
              <a:srgbClr val="92D050">
                <a:alpha val="50196"/>
              </a:srgbClr>
            </a:gs>
            <a:gs pos="10000">
              <a:srgbClr val="00B050">
                <a:alpha val="50196"/>
              </a:srgbClr>
            </a:gs>
            <a:gs pos="70000">
              <a:srgbClr val="FFC000">
                <a:alpha val="50000"/>
              </a:srgbClr>
            </a:gs>
            <a:gs pos="8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Procesmonitor Circulaire Peiler </a:t>
            </a:r>
          </a:p>
        </c:rich>
      </c:tx>
      <c:layout>
        <c:manualLayout>
          <c:xMode val="edge"/>
          <c:yMode val="edge"/>
          <c:x val="0.21479672880644757"/>
          <c:y val="0"/>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30726632190985825"/>
          <c:y val="8.0681475924485352E-2"/>
          <c:w val="0.64515478636158052"/>
          <c:h val="0.84373596849922305"/>
        </c:manualLayout>
      </c:layout>
      <c:barChart>
        <c:barDir val="col"/>
        <c:grouping val="stacked"/>
        <c:varyColors val="0"/>
        <c:ser>
          <c:idx val="0"/>
          <c:order val="0"/>
          <c:tx>
            <c:strRef>
              <c:f>'print C1'!$D$18</c:f>
              <c:strCache>
                <c:ptCount val="1"/>
                <c:pt idx="0">
                  <c:v>Voorkómen: niet doen wat echt niet hoeft</c:v>
                </c:pt>
              </c:strCache>
            </c:strRef>
          </c:tx>
          <c:spPr>
            <a:solidFill>
              <a:schemeClr val="tx1">
                <a:lumMod val="75000"/>
                <a:lumOff val="25000"/>
              </a:schemeClr>
            </a:solidFill>
            <a:ln w="3175">
              <a:solidFill>
                <a:schemeClr val="lt1"/>
              </a:solidFill>
            </a:ln>
            <a:effectLst/>
          </c:spPr>
          <c:invertIfNegative val="0"/>
          <c:dPt>
            <c:idx val="1"/>
            <c:invertIfNegative val="0"/>
            <c:bubble3D val="0"/>
            <c:explosion val="1"/>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1-D1BA-4D5F-981F-A6B3515B0D65}"/>
              </c:ext>
            </c:extLst>
          </c:dPt>
          <c:dPt>
            <c:idx val="2"/>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3-D1BA-4D5F-981F-A6B3515B0D65}"/>
              </c:ext>
            </c:extLst>
          </c:dPt>
          <c:dPt>
            <c:idx val="3"/>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5-D1BA-4D5F-981F-A6B3515B0D65}"/>
              </c:ext>
            </c:extLst>
          </c:dPt>
          <c:dPt>
            <c:idx val="5"/>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7-D1BA-4D5F-981F-A6B3515B0D65}"/>
              </c:ext>
            </c:extLst>
          </c:dPt>
          <c:dPt>
            <c:idx val="6"/>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9-D1BA-4D5F-981F-A6B3515B0D65}"/>
              </c:ext>
            </c:extLst>
          </c:dPt>
          <c:dPt>
            <c:idx val="7"/>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B-D1BA-4D5F-981F-A6B3515B0D65}"/>
              </c:ext>
            </c:extLst>
          </c:dPt>
          <c:dPt>
            <c:idx val="8"/>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D-D1BA-4D5F-981F-A6B3515B0D65}"/>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C1'!$G$10</c:f>
              <c:strCache>
                <c:ptCount val="1"/>
                <c:pt idx="0">
                  <c:v>C1</c:v>
                </c:pt>
              </c:strCache>
            </c:strRef>
          </c:cat>
          <c:val>
            <c:numRef>
              <c:f>'print C1'!$Q$18</c:f>
              <c:numCache>
                <c:formatCode>0.0</c:formatCode>
                <c:ptCount val="1"/>
                <c:pt idx="0">
                  <c:v>0</c:v>
                </c:pt>
              </c:numCache>
            </c:numRef>
          </c:val>
          <c:extLst>
            <c:ext xmlns:c16="http://schemas.microsoft.com/office/drawing/2014/chart" uri="{C3380CC4-5D6E-409C-BE32-E72D297353CC}">
              <c16:uniqueId val="{0000000E-D1BA-4D5F-981F-A6B3515B0D65}"/>
            </c:ext>
          </c:extLst>
        </c:ser>
        <c:ser>
          <c:idx val="1"/>
          <c:order val="1"/>
          <c:tx>
            <c:strRef>
              <c:f>'print C1'!$D$20</c:f>
              <c:strCache>
                <c:ptCount val="1"/>
                <c:pt idx="0">
                  <c:v>Verleng de levensduur van bestaande objecten of componenten</c:v>
                </c:pt>
              </c:strCache>
            </c:strRef>
          </c:tx>
          <c:spPr>
            <a:solidFill>
              <a:srgbClr val="FF0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C1'!$G$10</c:f>
              <c:strCache>
                <c:ptCount val="1"/>
                <c:pt idx="0">
                  <c:v>C1</c:v>
                </c:pt>
              </c:strCache>
            </c:strRef>
          </c:cat>
          <c:val>
            <c:numRef>
              <c:f>'print C1'!$Q$20</c:f>
              <c:numCache>
                <c:formatCode>0.0</c:formatCode>
                <c:ptCount val="1"/>
                <c:pt idx="0">
                  <c:v>0</c:v>
                </c:pt>
              </c:numCache>
            </c:numRef>
          </c:val>
          <c:extLst>
            <c:ext xmlns:c16="http://schemas.microsoft.com/office/drawing/2014/chart" uri="{C3380CC4-5D6E-409C-BE32-E72D297353CC}">
              <c16:uniqueId val="{0000000F-D1BA-4D5F-981F-A6B3515B0D65}"/>
            </c:ext>
          </c:extLst>
        </c:ser>
        <c:ser>
          <c:idx val="2"/>
          <c:order val="2"/>
          <c:tx>
            <c:strRef>
              <c:f>'print C1'!$D$22</c:f>
              <c:strCache>
                <c:ptCount val="1"/>
                <c:pt idx="0">
                  <c:v>Duurzaam gebruik van bestaande objecten, materialen, grondstoffen en natuurlijke processen</c:v>
                </c:pt>
              </c:strCache>
            </c:strRef>
          </c:tx>
          <c:spPr>
            <a:solidFill>
              <a:srgbClr val="00B05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C1'!$G$10</c:f>
              <c:strCache>
                <c:ptCount val="1"/>
                <c:pt idx="0">
                  <c:v>C1</c:v>
                </c:pt>
              </c:strCache>
            </c:strRef>
          </c:cat>
          <c:val>
            <c:numRef>
              <c:f>'print C1'!$Q$22</c:f>
              <c:numCache>
                <c:formatCode>0.0</c:formatCode>
                <c:ptCount val="1"/>
                <c:pt idx="0">
                  <c:v>0</c:v>
                </c:pt>
              </c:numCache>
            </c:numRef>
          </c:val>
          <c:extLst>
            <c:ext xmlns:c16="http://schemas.microsoft.com/office/drawing/2014/chart" uri="{C3380CC4-5D6E-409C-BE32-E72D297353CC}">
              <c16:uniqueId val="{00000010-D1BA-4D5F-981F-A6B3515B0D65}"/>
            </c:ext>
          </c:extLst>
        </c:ser>
        <c:ser>
          <c:idx val="3"/>
          <c:order val="3"/>
          <c:tx>
            <c:strRef>
              <c:f>'print C1'!$D$26</c:f>
              <c:strCache>
                <c:ptCount val="1"/>
                <c:pt idx="0">
                  <c:v>Ontwerp voor meerdere levenscycli</c:v>
                </c:pt>
              </c:strCache>
            </c:strRef>
          </c:tx>
          <c:spPr>
            <a:solidFill>
              <a:srgbClr val="FFC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C1'!$G$10</c:f>
              <c:strCache>
                <c:ptCount val="1"/>
                <c:pt idx="0">
                  <c:v>C1</c:v>
                </c:pt>
              </c:strCache>
            </c:strRef>
          </c:cat>
          <c:val>
            <c:numRef>
              <c:f>'print C1'!$Q$26</c:f>
              <c:numCache>
                <c:formatCode>0.0</c:formatCode>
                <c:ptCount val="1"/>
                <c:pt idx="0">
                  <c:v>0</c:v>
                </c:pt>
              </c:numCache>
            </c:numRef>
          </c:val>
          <c:extLst>
            <c:ext xmlns:c16="http://schemas.microsoft.com/office/drawing/2014/chart" uri="{C3380CC4-5D6E-409C-BE32-E72D297353CC}">
              <c16:uniqueId val="{00000011-D1BA-4D5F-981F-A6B3515B0D65}"/>
            </c:ext>
          </c:extLst>
        </c:ser>
        <c:ser>
          <c:idx val="4"/>
          <c:order val="4"/>
          <c:tx>
            <c:strRef>
              <c:f>'print C1'!$D$29</c:f>
              <c:strCache>
                <c:ptCount val="1"/>
                <c:pt idx="0">
                  <c:v>Ontwerp toekomstbestendig</c:v>
                </c:pt>
              </c:strCache>
            </c:strRef>
          </c:tx>
          <c:spPr>
            <a:solidFill>
              <a:srgbClr val="000099"/>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C1'!$G$10</c:f>
              <c:strCache>
                <c:ptCount val="1"/>
                <c:pt idx="0">
                  <c:v>C1</c:v>
                </c:pt>
              </c:strCache>
            </c:strRef>
          </c:cat>
          <c:val>
            <c:numRef>
              <c:f>'print C1'!$Q$29</c:f>
              <c:numCache>
                <c:formatCode>0.0</c:formatCode>
                <c:ptCount val="1"/>
                <c:pt idx="0">
                  <c:v>0</c:v>
                </c:pt>
              </c:numCache>
            </c:numRef>
          </c:val>
          <c:extLst>
            <c:ext xmlns:c16="http://schemas.microsoft.com/office/drawing/2014/chart" uri="{C3380CC4-5D6E-409C-BE32-E72D297353CC}">
              <c16:uniqueId val="{00000012-D1BA-4D5F-981F-A6B3515B0D65}"/>
            </c:ext>
          </c:extLst>
        </c:ser>
        <c:ser>
          <c:idx val="5"/>
          <c:order val="5"/>
          <c:tx>
            <c:strRef>
              <c:f>'print C1'!$D$31</c:f>
              <c:strCache>
                <c:ptCount val="1"/>
                <c:pt idx="0">
                  <c:v>Ontwerp voor optimaal beheer en onderhoud </c:v>
                </c:pt>
              </c:strCache>
            </c:strRef>
          </c:tx>
          <c:spPr>
            <a:solidFill>
              <a:srgbClr val="6666FF"/>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C1'!$G$10</c:f>
              <c:strCache>
                <c:ptCount val="1"/>
                <c:pt idx="0">
                  <c:v>C1</c:v>
                </c:pt>
              </c:strCache>
            </c:strRef>
          </c:cat>
          <c:val>
            <c:numRef>
              <c:f>'print C1'!$Q$31</c:f>
              <c:numCache>
                <c:formatCode>0.0</c:formatCode>
                <c:ptCount val="1"/>
                <c:pt idx="0">
                  <c:v>0</c:v>
                </c:pt>
              </c:numCache>
            </c:numRef>
          </c:val>
          <c:extLst>
            <c:ext xmlns:c16="http://schemas.microsoft.com/office/drawing/2014/chart" uri="{C3380CC4-5D6E-409C-BE32-E72D297353CC}">
              <c16:uniqueId val="{00000013-D1BA-4D5F-981F-A6B3515B0D65}"/>
            </c:ext>
          </c:extLst>
        </c:ser>
        <c:ser>
          <c:idx val="6"/>
          <c:order val="6"/>
          <c:tx>
            <c:strRef>
              <c:f>'print C1'!$D$33</c:f>
              <c:strCache>
                <c:ptCount val="1"/>
                <c:pt idx="0">
                  <c:v>Duurzaam materiaalgebruik (hoeveel x milieubelasting)</c:v>
                </c:pt>
              </c:strCache>
            </c:strRef>
          </c:tx>
          <c:spPr>
            <a:solidFill>
              <a:srgbClr val="FF66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C1'!$G$10</c:f>
              <c:strCache>
                <c:ptCount val="1"/>
                <c:pt idx="0">
                  <c:v>C1</c:v>
                </c:pt>
              </c:strCache>
            </c:strRef>
          </c:cat>
          <c:val>
            <c:numRef>
              <c:f>'print C1'!$Q$33</c:f>
              <c:numCache>
                <c:formatCode>0.0</c:formatCode>
                <c:ptCount val="1"/>
                <c:pt idx="0">
                  <c:v>0</c:v>
                </c:pt>
              </c:numCache>
            </c:numRef>
          </c:val>
          <c:extLst>
            <c:ext xmlns:c16="http://schemas.microsoft.com/office/drawing/2014/chart" uri="{C3380CC4-5D6E-409C-BE32-E72D297353CC}">
              <c16:uniqueId val="{00000014-D1BA-4D5F-981F-A6B3515B0D65}"/>
            </c:ext>
          </c:extLst>
        </c:ser>
        <c:ser>
          <c:idx val="7"/>
          <c:order val="7"/>
          <c:tx>
            <c:strRef>
              <c:f>'print C1'!$D$36</c:f>
              <c:strCache>
                <c:ptCount val="1"/>
                <c:pt idx="0">
                  <c:v>Ontwerp voor minimaal grondstof- en energiegebruik in de aanleg/gebruiksfase</c:v>
                </c:pt>
              </c:strCache>
            </c:strRef>
          </c:tx>
          <c:spPr>
            <a:solidFill>
              <a:srgbClr val="C00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C1'!$G$10</c:f>
              <c:strCache>
                <c:ptCount val="1"/>
                <c:pt idx="0">
                  <c:v>C1</c:v>
                </c:pt>
              </c:strCache>
            </c:strRef>
          </c:cat>
          <c:val>
            <c:numRef>
              <c:f>'print C1'!$Q$36</c:f>
              <c:numCache>
                <c:formatCode>0.0</c:formatCode>
                <c:ptCount val="1"/>
                <c:pt idx="0">
                  <c:v>0</c:v>
                </c:pt>
              </c:numCache>
            </c:numRef>
          </c:val>
          <c:extLst>
            <c:ext xmlns:c16="http://schemas.microsoft.com/office/drawing/2014/chart" uri="{C3380CC4-5D6E-409C-BE32-E72D297353CC}">
              <c16:uniqueId val="{00000015-D1BA-4D5F-981F-A6B3515B0D65}"/>
            </c:ext>
          </c:extLst>
        </c:ser>
        <c:ser>
          <c:idx val="8"/>
          <c:order val="8"/>
          <c:tx>
            <c:strRef>
              <c:f>'print C1'!$C$39</c:f>
              <c:strCache>
                <c:ptCount val="1"/>
                <c:pt idx="0">
                  <c:v>bonus</c:v>
                </c:pt>
              </c:strCache>
            </c:strRef>
          </c:tx>
          <c:spPr>
            <a:pattFill prst="ltDnDiag">
              <a:fgClr>
                <a:schemeClr val="bg1">
                  <a:lumMod val="65000"/>
                </a:schemeClr>
              </a:fgClr>
              <a:bgClr>
                <a:schemeClr val="bg1"/>
              </a:bgClr>
            </a:patt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C1'!$G$10</c:f>
              <c:strCache>
                <c:ptCount val="1"/>
                <c:pt idx="0">
                  <c:v>C1</c:v>
                </c:pt>
              </c:strCache>
            </c:strRef>
          </c:cat>
          <c:val>
            <c:numRef>
              <c:f>'print C1'!$Q$39</c:f>
              <c:numCache>
                <c:formatCode>0.0</c:formatCode>
                <c:ptCount val="1"/>
                <c:pt idx="0">
                  <c:v>0</c:v>
                </c:pt>
              </c:numCache>
            </c:numRef>
          </c:val>
          <c:extLst>
            <c:ext xmlns:c16="http://schemas.microsoft.com/office/drawing/2014/chart" uri="{C3380CC4-5D6E-409C-BE32-E72D297353CC}">
              <c16:uniqueId val="{00000016-D1BA-4D5F-981F-A6B3515B0D65}"/>
            </c:ext>
          </c:extLst>
        </c:ser>
        <c:ser>
          <c:idx val="9"/>
          <c:order val="9"/>
          <c:tx>
            <c:strRef>
              <c:f>'print C1'!$D$41</c:f>
              <c:strCache>
                <c:ptCount val="1"/>
              </c:strCache>
            </c:strRef>
          </c:tx>
          <c:spPr>
            <a:solidFill>
              <a:srgbClr val="FFFFFF">
                <a:alpha val="30000"/>
              </a:srgbClr>
            </a:solidFill>
            <a:ln w="19050">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1" u="none" strike="noStrike" kern="1200" baseline="0">
                    <a:solidFill>
                      <a:schemeClr val="bg1">
                        <a:lumMod val="7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C1'!$G$10</c:f>
              <c:strCache>
                <c:ptCount val="1"/>
                <c:pt idx="0">
                  <c:v>C1</c:v>
                </c:pt>
              </c:strCache>
            </c:strRef>
          </c:cat>
          <c:val>
            <c:numRef>
              <c:f>'print C1'!$Q$41</c:f>
              <c:numCache>
                <c:formatCode>0</c:formatCode>
                <c:ptCount val="1"/>
                <c:pt idx="0">
                  <c:v>0</c:v>
                </c:pt>
              </c:numCache>
            </c:numRef>
          </c:val>
          <c:extLst>
            <c:ext xmlns:c16="http://schemas.microsoft.com/office/drawing/2014/chart" uri="{C3380CC4-5D6E-409C-BE32-E72D297353CC}">
              <c16:uniqueId val="{00000017-D1BA-4D5F-981F-A6B3515B0D65}"/>
            </c:ext>
          </c:extLst>
        </c:ser>
        <c:dLbls>
          <c:showLegendKey val="0"/>
          <c:showVal val="0"/>
          <c:showCatName val="0"/>
          <c:showSerName val="0"/>
          <c:showPercent val="0"/>
          <c:showBubbleSize val="0"/>
        </c:dLbls>
        <c:gapWidth val="100"/>
        <c:overlap val="100"/>
        <c:axId val="620689312"/>
        <c:axId val="620691280"/>
      </c:barChart>
      <c:catAx>
        <c:axId val="62068931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endParaRPr lang="nl-NL"/>
          </a:p>
        </c:txPr>
        <c:crossAx val="620691280"/>
        <c:crosses val="autoZero"/>
        <c:auto val="1"/>
        <c:lblAlgn val="ctr"/>
        <c:lblOffset val="100"/>
        <c:noMultiLvlLbl val="0"/>
      </c:catAx>
      <c:valAx>
        <c:axId val="620691280"/>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nl-NL" sz="1400"/>
                  <a:t>Circulair Peil Index (CPI)</a:t>
                </a:r>
                <a:r>
                  <a:rPr lang="nl-NL" sz="1400" baseline="0"/>
                  <a:t>  (max 100)</a:t>
                </a:r>
                <a:endParaRPr lang="nl-NL" sz="1400"/>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620689312"/>
        <c:crosses val="autoZero"/>
        <c:crossBetween val="between"/>
        <c:majorUnit val="20"/>
      </c:valAx>
      <c:spPr>
        <a:gradFill>
          <a:gsLst>
            <a:gs pos="25000">
              <a:srgbClr val="FFFF00">
                <a:alpha val="30000"/>
              </a:srgbClr>
            </a:gs>
            <a:gs pos="15000">
              <a:srgbClr val="92D050">
                <a:alpha val="30000"/>
              </a:srgbClr>
            </a:gs>
            <a:gs pos="5000">
              <a:srgbClr val="00B050">
                <a:alpha val="30000"/>
              </a:srgbClr>
            </a:gs>
            <a:gs pos="33000">
              <a:srgbClr val="FFC000">
                <a:alpha val="30000"/>
              </a:srgbClr>
            </a:gs>
            <a:gs pos="43000">
              <a:srgbClr val="FF0000">
                <a:alpha val="30000"/>
              </a:srgbClr>
            </a:gs>
            <a:gs pos="100000">
              <a:srgbClr val="C00000">
                <a:alpha val="3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sz="1400"/>
              <a:t>Referentiemonitor Reductie Milieukosten / Circulariteit / CO2</a:t>
            </a:r>
          </a:p>
        </c:rich>
      </c:tx>
      <c:layout>
        <c:manualLayout>
          <c:xMode val="edge"/>
          <c:yMode val="edge"/>
          <c:x val="0.23003133202099738"/>
          <c:y val="2.7777880267646139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spPr>
            <a:solidFill>
              <a:schemeClr val="accent1"/>
            </a:solidFill>
            <a:ln>
              <a:solidFill>
                <a:srgbClr val="FFFFFF"/>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('C1'!$AN$67,'C1'!$AN$71,'C1'!$AN$75)</c:f>
              <c:strCache>
                <c:ptCount val="3"/>
                <c:pt idx="0">
                  <c:v>MKI reductie t.o.v. referentie € </c:v>
                </c:pt>
                <c:pt idx="1">
                  <c:v>MCI reductie t.o.v. referentie  [-]</c:v>
                </c:pt>
                <c:pt idx="2">
                  <c:v>CO2 reductie t.o.v. referentie  tonCO2</c:v>
                </c:pt>
              </c:strCache>
            </c:strRef>
          </c:cat>
          <c:val>
            <c:numRef>
              <c:f>('C1'!$AO$67,'C1'!$AO$71,'C1'!$AO$75)</c:f>
            </c:numRef>
          </c:val>
          <c:extLst xmlns:c15="http://schemas.microsoft.com/office/drawing/2012/chart">
            <c:ext xmlns:c16="http://schemas.microsoft.com/office/drawing/2014/chart" uri="{C3380CC4-5D6E-409C-BE32-E72D297353CC}">
              <c16:uniqueId val="{00000006-9A75-4EC8-892D-9344911DAC8F}"/>
            </c:ext>
          </c:extLst>
        </c:ser>
        <c:ser>
          <c:idx val="1"/>
          <c:order val="1"/>
          <c:spPr>
            <a:solidFill>
              <a:srgbClr val="FFFFFF">
                <a:alpha val="30196"/>
              </a:srgbClr>
            </a:solidFill>
            <a:ln>
              <a:solidFill>
                <a:srgbClr val="FFFFFF">
                  <a:alpha val="0"/>
                </a:srgbClr>
              </a:solidFill>
            </a:ln>
            <a:effectLst/>
          </c:spPr>
          <c:invertIfNegative val="0"/>
          <c:dPt>
            <c:idx val="0"/>
            <c:invertIfNegative val="0"/>
            <c:bubble3D val="0"/>
            <c:spPr>
              <a:solidFill>
                <a:srgbClr val="92D050"/>
              </a:solidFill>
              <a:ln>
                <a:solidFill>
                  <a:srgbClr val="FFFFFF"/>
                </a:solidFill>
              </a:ln>
              <a:effectLst/>
            </c:spPr>
            <c:extLst>
              <c:ext xmlns:c16="http://schemas.microsoft.com/office/drawing/2014/chart" uri="{C3380CC4-5D6E-409C-BE32-E72D297353CC}">
                <c16:uniqueId val="{00000001-6A87-44F1-8597-1942C60FD3C5}"/>
              </c:ext>
            </c:extLst>
          </c:dPt>
          <c:dPt>
            <c:idx val="1"/>
            <c:invertIfNegative val="0"/>
            <c:bubble3D val="0"/>
            <c:spPr>
              <a:solidFill>
                <a:srgbClr val="00B0F0"/>
              </a:solidFill>
              <a:ln>
                <a:solidFill>
                  <a:srgbClr val="FFFFFF"/>
                </a:solidFill>
              </a:ln>
              <a:effectLst/>
            </c:spPr>
            <c:extLst>
              <c:ext xmlns:c16="http://schemas.microsoft.com/office/drawing/2014/chart" uri="{C3380CC4-5D6E-409C-BE32-E72D297353CC}">
                <c16:uniqueId val="{00000003-6A87-44F1-8597-1942C60FD3C5}"/>
              </c:ext>
            </c:extLst>
          </c:dPt>
          <c:dPt>
            <c:idx val="2"/>
            <c:invertIfNegative val="0"/>
            <c:bubble3D val="0"/>
            <c:spPr>
              <a:solidFill>
                <a:srgbClr val="FF0000"/>
              </a:solidFill>
              <a:ln>
                <a:solidFill>
                  <a:srgbClr val="FFFFFF"/>
                </a:solidFill>
              </a:ln>
              <a:effectLst/>
            </c:spPr>
            <c:extLst>
              <c:ext xmlns:c16="http://schemas.microsoft.com/office/drawing/2014/chart" uri="{C3380CC4-5D6E-409C-BE32-E72D297353CC}">
                <c16:uniqueId val="{00000005-6A87-44F1-8597-1942C60FD3C5}"/>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('C1'!$AN$67,'C1'!$AN$71,'C1'!$AN$75)</c:f>
              <c:strCache>
                <c:ptCount val="3"/>
                <c:pt idx="0">
                  <c:v>MKI reductie t.o.v. referentie € </c:v>
                </c:pt>
                <c:pt idx="1">
                  <c:v>MCI reductie t.o.v. referentie  [-]</c:v>
                </c:pt>
                <c:pt idx="2">
                  <c:v>CO2 reductie t.o.v. referentie  tonCO2</c:v>
                </c:pt>
              </c:strCache>
            </c:strRef>
          </c:cat>
          <c:val>
            <c:numRef>
              <c:f>('C1'!$AP$67,'C1'!$AP$71,'C1'!$AP$75)</c:f>
              <c:numCache>
                <c:formatCode>0%</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7-9A75-4EC8-892D-9344911DAC8F}"/>
            </c:ext>
          </c:extLst>
        </c:ser>
        <c:dLbls>
          <c:showLegendKey val="0"/>
          <c:showVal val="0"/>
          <c:showCatName val="0"/>
          <c:showSerName val="0"/>
          <c:showPercent val="0"/>
          <c:showBubbleSize val="0"/>
        </c:dLbls>
        <c:gapWidth val="50"/>
        <c:overlap val="10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nl-NL" sz="1400" baseline="0"/>
                  <a:t> Reductie MKI / MCI / CO2 [%]</a:t>
                </a:r>
                <a:endParaRPr lang="nl-NL" sz="1400"/>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gradFill>
          <a:gsLst>
            <a:gs pos="60000">
              <a:srgbClr val="FFFF00">
                <a:alpha val="50196"/>
              </a:srgbClr>
            </a:gs>
            <a:gs pos="29000">
              <a:srgbClr val="92D050">
                <a:alpha val="50196"/>
              </a:srgbClr>
            </a:gs>
            <a:gs pos="10000">
              <a:srgbClr val="00B050">
                <a:alpha val="50196"/>
              </a:srgbClr>
            </a:gs>
            <a:gs pos="70000">
              <a:srgbClr val="FFC000">
                <a:alpha val="50000"/>
              </a:srgbClr>
            </a:gs>
            <a:gs pos="8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a:t>Procesmonitor Circulaire Peiler </a:t>
            </a:r>
          </a:p>
        </c:rich>
      </c:tx>
      <c:layout>
        <c:manualLayout>
          <c:xMode val="edge"/>
          <c:yMode val="edge"/>
          <c:x val="0.21479672880644757"/>
          <c:y val="0"/>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manualLayout>
          <c:layoutTarget val="inner"/>
          <c:xMode val="edge"/>
          <c:yMode val="edge"/>
          <c:x val="0.30726632190985825"/>
          <c:y val="8.0681475924485352E-2"/>
          <c:w val="0.64515478636158052"/>
          <c:h val="0.84373596849922305"/>
        </c:manualLayout>
      </c:layout>
      <c:barChart>
        <c:barDir val="col"/>
        <c:grouping val="stacked"/>
        <c:varyColors val="0"/>
        <c:ser>
          <c:idx val="0"/>
          <c:order val="0"/>
          <c:tx>
            <c:strRef>
              <c:f>'print D1'!$D$18</c:f>
              <c:strCache>
                <c:ptCount val="1"/>
                <c:pt idx="0">
                  <c:v>Voorkómen: niet doen wat echt niet hoeft</c:v>
                </c:pt>
              </c:strCache>
            </c:strRef>
          </c:tx>
          <c:spPr>
            <a:solidFill>
              <a:schemeClr val="tx1">
                <a:lumMod val="75000"/>
                <a:lumOff val="25000"/>
              </a:schemeClr>
            </a:solidFill>
            <a:ln w="3175">
              <a:solidFill>
                <a:schemeClr val="lt1"/>
              </a:solidFill>
            </a:ln>
            <a:effectLst/>
          </c:spPr>
          <c:invertIfNegative val="0"/>
          <c:dPt>
            <c:idx val="1"/>
            <c:invertIfNegative val="0"/>
            <c:bubble3D val="0"/>
            <c:explosion val="1"/>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1-7F47-41B5-94C8-841C803AEEC7}"/>
              </c:ext>
            </c:extLst>
          </c:dPt>
          <c:dPt>
            <c:idx val="2"/>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3-7F47-41B5-94C8-841C803AEEC7}"/>
              </c:ext>
            </c:extLst>
          </c:dPt>
          <c:dPt>
            <c:idx val="3"/>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5-7F47-41B5-94C8-841C803AEEC7}"/>
              </c:ext>
            </c:extLst>
          </c:dPt>
          <c:dPt>
            <c:idx val="5"/>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7-7F47-41B5-94C8-841C803AEEC7}"/>
              </c:ext>
            </c:extLst>
          </c:dPt>
          <c:dPt>
            <c:idx val="6"/>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9-7F47-41B5-94C8-841C803AEEC7}"/>
              </c:ext>
            </c:extLst>
          </c:dPt>
          <c:dPt>
            <c:idx val="7"/>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B-7F47-41B5-94C8-841C803AEEC7}"/>
              </c:ext>
            </c:extLst>
          </c:dPt>
          <c:dPt>
            <c:idx val="8"/>
            <c:invertIfNegative val="0"/>
            <c:bubble3D val="0"/>
            <c:spPr>
              <a:solidFill>
                <a:schemeClr val="tx1">
                  <a:lumMod val="75000"/>
                  <a:lumOff val="25000"/>
                </a:schemeClr>
              </a:solidFill>
              <a:ln w="3175">
                <a:solidFill>
                  <a:schemeClr val="lt1"/>
                </a:solidFill>
              </a:ln>
              <a:effectLst/>
            </c:spPr>
            <c:extLst>
              <c:ext xmlns:c16="http://schemas.microsoft.com/office/drawing/2014/chart" uri="{C3380CC4-5D6E-409C-BE32-E72D297353CC}">
                <c16:uniqueId val="{0000000D-7F47-41B5-94C8-841C803AEEC7}"/>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D1'!$G$10</c:f>
              <c:strCache>
                <c:ptCount val="1"/>
                <c:pt idx="0">
                  <c:v>D1</c:v>
                </c:pt>
              </c:strCache>
            </c:strRef>
          </c:cat>
          <c:val>
            <c:numRef>
              <c:f>'print D1'!$Q$18</c:f>
              <c:numCache>
                <c:formatCode>0.0</c:formatCode>
                <c:ptCount val="1"/>
                <c:pt idx="0">
                  <c:v>0</c:v>
                </c:pt>
              </c:numCache>
            </c:numRef>
          </c:val>
          <c:extLst>
            <c:ext xmlns:c16="http://schemas.microsoft.com/office/drawing/2014/chart" uri="{C3380CC4-5D6E-409C-BE32-E72D297353CC}">
              <c16:uniqueId val="{0000000E-7F47-41B5-94C8-841C803AEEC7}"/>
            </c:ext>
          </c:extLst>
        </c:ser>
        <c:ser>
          <c:idx val="1"/>
          <c:order val="1"/>
          <c:tx>
            <c:strRef>
              <c:f>'print D1'!$D$20</c:f>
              <c:strCache>
                <c:ptCount val="1"/>
                <c:pt idx="0">
                  <c:v>Verleng de levensduur van bestaande objecten of componenten</c:v>
                </c:pt>
              </c:strCache>
            </c:strRef>
          </c:tx>
          <c:spPr>
            <a:solidFill>
              <a:srgbClr val="FF0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D1'!$G$10</c:f>
              <c:strCache>
                <c:ptCount val="1"/>
                <c:pt idx="0">
                  <c:v>D1</c:v>
                </c:pt>
              </c:strCache>
            </c:strRef>
          </c:cat>
          <c:val>
            <c:numRef>
              <c:f>'print D1'!$Q$20</c:f>
              <c:numCache>
                <c:formatCode>0.0</c:formatCode>
                <c:ptCount val="1"/>
                <c:pt idx="0">
                  <c:v>0</c:v>
                </c:pt>
              </c:numCache>
            </c:numRef>
          </c:val>
          <c:extLst>
            <c:ext xmlns:c16="http://schemas.microsoft.com/office/drawing/2014/chart" uri="{C3380CC4-5D6E-409C-BE32-E72D297353CC}">
              <c16:uniqueId val="{0000000F-7F47-41B5-94C8-841C803AEEC7}"/>
            </c:ext>
          </c:extLst>
        </c:ser>
        <c:ser>
          <c:idx val="2"/>
          <c:order val="2"/>
          <c:tx>
            <c:strRef>
              <c:f>'print D1'!$D$22</c:f>
              <c:strCache>
                <c:ptCount val="1"/>
                <c:pt idx="0">
                  <c:v>Duurzaam gebruik van bestaande objecten, materialen, grondstoffen en natuurlijke processen</c:v>
                </c:pt>
              </c:strCache>
            </c:strRef>
          </c:tx>
          <c:spPr>
            <a:solidFill>
              <a:srgbClr val="00B05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D1'!$G$10</c:f>
              <c:strCache>
                <c:ptCount val="1"/>
                <c:pt idx="0">
                  <c:v>D1</c:v>
                </c:pt>
              </c:strCache>
            </c:strRef>
          </c:cat>
          <c:val>
            <c:numRef>
              <c:f>'print D1'!$Q$22</c:f>
              <c:numCache>
                <c:formatCode>0.0</c:formatCode>
                <c:ptCount val="1"/>
                <c:pt idx="0">
                  <c:v>0</c:v>
                </c:pt>
              </c:numCache>
            </c:numRef>
          </c:val>
          <c:extLst>
            <c:ext xmlns:c16="http://schemas.microsoft.com/office/drawing/2014/chart" uri="{C3380CC4-5D6E-409C-BE32-E72D297353CC}">
              <c16:uniqueId val="{00000010-7F47-41B5-94C8-841C803AEEC7}"/>
            </c:ext>
          </c:extLst>
        </c:ser>
        <c:ser>
          <c:idx val="3"/>
          <c:order val="3"/>
          <c:tx>
            <c:strRef>
              <c:f>'print D1'!$D$26</c:f>
              <c:strCache>
                <c:ptCount val="1"/>
                <c:pt idx="0">
                  <c:v>Ontwerp voor meerdere levenscycli</c:v>
                </c:pt>
              </c:strCache>
            </c:strRef>
          </c:tx>
          <c:spPr>
            <a:solidFill>
              <a:srgbClr val="FFC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D1'!$G$10</c:f>
              <c:strCache>
                <c:ptCount val="1"/>
                <c:pt idx="0">
                  <c:v>D1</c:v>
                </c:pt>
              </c:strCache>
            </c:strRef>
          </c:cat>
          <c:val>
            <c:numRef>
              <c:f>'print D1'!$Q$26</c:f>
              <c:numCache>
                <c:formatCode>0.0</c:formatCode>
                <c:ptCount val="1"/>
                <c:pt idx="0">
                  <c:v>0</c:v>
                </c:pt>
              </c:numCache>
            </c:numRef>
          </c:val>
          <c:extLst>
            <c:ext xmlns:c16="http://schemas.microsoft.com/office/drawing/2014/chart" uri="{C3380CC4-5D6E-409C-BE32-E72D297353CC}">
              <c16:uniqueId val="{00000011-7F47-41B5-94C8-841C803AEEC7}"/>
            </c:ext>
          </c:extLst>
        </c:ser>
        <c:ser>
          <c:idx val="4"/>
          <c:order val="4"/>
          <c:tx>
            <c:strRef>
              <c:f>'print D1'!$D$29</c:f>
              <c:strCache>
                <c:ptCount val="1"/>
                <c:pt idx="0">
                  <c:v>Ontwerp toekomstbestendig</c:v>
                </c:pt>
              </c:strCache>
            </c:strRef>
          </c:tx>
          <c:spPr>
            <a:solidFill>
              <a:srgbClr val="000099"/>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D1'!$G$10</c:f>
              <c:strCache>
                <c:ptCount val="1"/>
                <c:pt idx="0">
                  <c:v>D1</c:v>
                </c:pt>
              </c:strCache>
            </c:strRef>
          </c:cat>
          <c:val>
            <c:numRef>
              <c:f>'print D1'!$Q$29</c:f>
              <c:numCache>
                <c:formatCode>0.0</c:formatCode>
                <c:ptCount val="1"/>
                <c:pt idx="0">
                  <c:v>0</c:v>
                </c:pt>
              </c:numCache>
            </c:numRef>
          </c:val>
          <c:extLst>
            <c:ext xmlns:c16="http://schemas.microsoft.com/office/drawing/2014/chart" uri="{C3380CC4-5D6E-409C-BE32-E72D297353CC}">
              <c16:uniqueId val="{00000012-7F47-41B5-94C8-841C803AEEC7}"/>
            </c:ext>
          </c:extLst>
        </c:ser>
        <c:ser>
          <c:idx val="5"/>
          <c:order val="5"/>
          <c:tx>
            <c:strRef>
              <c:f>'print D1'!$D$31</c:f>
              <c:strCache>
                <c:ptCount val="1"/>
                <c:pt idx="0">
                  <c:v>Ontwerp voor optimaal beheer en onderhoud </c:v>
                </c:pt>
              </c:strCache>
            </c:strRef>
          </c:tx>
          <c:spPr>
            <a:solidFill>
              <a:srgbClr val="6666FF"/>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D1'!$G$10</c:f>
              <c:strCache>
                <c:ptCount val="1"/>
                <c:pt idx="0">
                  <c:v>D1</c:v>
                </c:pt>
              </c:strCache>
            </c:strRef>
          </c:cat>
          <c:val>
            <c:numRef>
              <c:f>'print D1'!$Q$31</c:f>
              <c:numCache>
                <c:formatCode>0.0</c:formatCode>
                <c:ptCount val="1"/>
                <c:pt idx="0">
                  <c:v>0</c:v>
                </c:pt>
              </c:numCache>
            </c:numRef>
          </c:val>
          <c:extLst>
            <c:ext xmlns:c16="http://schemas.microsoft.com/office/drawing/2014/chart" uri="{C3380CC4-5D6E-409C-BE32-E72D297353CC}">
              <c16:uniqueId val="{00000013-7F47-41B5-94C8-841C803AEEC7}"/>
            </c:ext>
          </c:extLst>
        </c:ser>
        <c:ser>
          <c:idx val="6"/>
          <c:order val="6"/>
          <c:tx>
            <c:strRef>
              <c:f>'print D1'!$D$33</c:f>
              <c:strCache>
                <c:ptCount val="1"/>
                <c:pt idx="0">
                  <c:v>Duurzaam materiaalgebruik (hoeveel x milieubelasting)</c:v>
                </c:pt>
              </c:strCache>
            </c:strRef>
          </c:tx>
          <c:spPr>
            <a:solidFill>
              <a:srgbClr val="FF66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D1'!$G$10</c:f>
              <c:strCache>
                <c:ptCount val="1"/>
                <c:pt idx="0">
                  <c:v>D1</c:v>
                </c:pt>
              </c:strCache>
            </c:strRef>
          </c:cat>
          <c:val>
            <c:numRef>
              <c:f>'print D1'!$Q$33</c:f>
              <c:numCache>
                <c:formatCode>0.0</c:formatCode>
                <c:ptCount val="1"/>
                <c:pt idx="0">
                  <c:v>0</c:v>
                </c:pt>
              </c:numCache>
            </c:numRef>
          </c:val>
          <c:extLst>
            <c:ext xmlns:c16="http://schemas.microsoft.com/office/drawing/2014/chart" uri="{C3380CC4-5D6E-409C-BE32-E72D297353CC}">
              <c16:uniqueId val="{00000014-7F47-41B5-94C8-841C803AEEC7}"/>
            </c:ext>
          </c:extLst>
        </c:ser>
        <c:ser>
          <c:idx val="7"/>
          <c:order val="7"/>
          <c:tx>
            <c:strRef>
              <c:f>'print D1'!$D$36</c:f>
              <c:strCache>
                <c:ptCount val="1"/>
                <c:pt idx="0">
                  <c:v>Ontwerp voor minimaal grondstof- en energiegebruik in de aanleg/gebruiksfase</c:v>
                </c:pt>
              </c:strCache>
            </c:strRef>
          </c:tx>
          <c:spPr>
            <a:solidFill>
              <a:srgbClr val="C00000"/>
            </a:solid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D1'!$G$10</c:f>
              <c:strCache>
                <c:ptCount val="1"/>
                <c:pt idx="0">
                  <c:v>D1</c:v>
                </c:pt>
              </c:strCache>
            </c:strRef>
          </c:cat>
          <c:val>
            <c:numRef>
              <c:f>'print D1'!$Q$36</c:f>
              <c:numCache>
                <c:formatCode>0.0</c:formatCode>
                <c:ptCount val="1"/>
                <c:pt idx="0">
                  <c:v>0</c:v>
                </c:pt>
              </c:numCache>
            </c:numRef>
          </c:val>
          <c:extLst>
            <c:ext xmlns:c16="http://schemas.microsoft.com/office/drawing/2014/chart" uri="{C3380CC4-5D6E-409C-BE32-E72D297353CC}">
              <c16:uniqueId val="{00000015-7F47-41B5-94C8-841C803AEEC7}"/>
            </c:ext>
          </c:extLst>
        </c:ser>
        <c:ser>
          <c:idx val="8"/>
          <c:order val="8"/>
          <c:tx>
            <c:strRef>
              <c:f>'print D1'!$C$39</c:f>
              <c:strCache>
                <c:ptCount val="1"/>
                <c:pt idx="0">
                  <c:v>bonus</c:v>
                </c:pt>
              </c:strCache>
            </c:strRef>
          </c:tx>
          <c:spPr>
            <a:pattFill prst="ltDnDiag">
              <a:fgClr>
                <a:schemeClr val="bg1">
                  <a:lumMod val="65000"/>
                </a:schemeClr>
              </a:fgClr>
              <a:bgClr>
                <a:schemeClr val="bg1"/>
              </a:bgClr>
            </a:pattFill>
            <a:ln w="3175">
              <a:solidFill>
                <a:schemeClr val="lt1"/>
              </a:solidFill>
            </a:ln>
            <a:effectLst/>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D1'!$G$10</c:f>
              <c:strCache>
                <c:ptCount val="1"/>
                <c:pt idx="0">
                  <c:v>D1</c:v>
                </c:pt>
              </c:strCache>
            </c:strRef>
          </c:cat>
          <c:val>
            <c:numRef>
              <c:f>'print D1'!$Q$39</c:f>
              <c:numCache>
                <c:formatCode>0.0</c:formatCode>
                <c:ptCount val="1"/>
                <c:pt idx="0">
                  <c:v>0</c:v>
                </c:pt>
              </c:numCache>
            </c:numRef>
          </c:val>
          <c:extLst>
            <c:ext xmlns:c16="http://schemas.microsoft.com/office/drawing/2014/chart" uri="{C3380CC4-5D6E-409C-BE32-E72D297353CC}">
              <c16:uniqueId val="{00000016-7F47-41B5-94C8-841C803AEEC7}"/>
            </c:ext>
          </c:extLst>
        </c:ser>
        <c:ser>
          <c:idx val="9"/>
          <c:order val="9"/>
          <c:tx>
            <c:strRef>
              <c:f>'print D1'!$D$41</c:f>
              <c:strCache>
                <c:ptCount val="1"/>
              </c:strCache>
            </c:strRef>
          </c:tx>
          <c:spPr>
            <a:solidFill>
              <a:srgbClr val="FFFFFF">
                <a:alpha val="30000"/>
              </a:srgbClr>
            </a:solidFill>
            <a:ln w="19050">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1" u="none" strike="noStrike" kern="1200" baseline="0">
                    <a:solidFill>
                      <a:schemeClr val="bg1">
                        <a:lumMod val="7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'print D1'!$G$10</c:f>
              <c:strCache>
                <c:ptCount val="1"/>
                <c:pt idx="0">
                  <c:v>D1</c:v>
                </c:pt>
              </c:strCache>
            </c:strRef>
          </c:cat>
          <c:val>
            <c:numRef>
              <c:f>'print D1'!$Q$41</c:f>
              <c:numCache>
                <c:formatCode>0</c:formatCode>
                <c:ptCount val="1"/>
                <c:pt idx="0">
                  <c:v>0</c:v>
                </c:pt>
              </c:numCache>
            </c:numRef>
          </c:val>
          <c:extLst>
            <c:ext xmlns:c16="http://schemas.microsoft.com/office/drawing/2014/chart" uri="{C3380CC4-5D6E-409C-BE32-E72D297353CC}">
              <c16:uniqueId val="{00000017-7F47-41B5-94C8-841C803AEEC7}"/>
            </c:ext>
          </c:extLst>
        </c:ser>
        <c:dLbls>
          <c:showLegendKey val="0"/>
          <c:showVal val="0"/>
          <c:showCatName val="0"/>
          <c:showSerName val="0"/>
          <c:showPercent val="0"/>
          <c:showBubbleSize val="0"/>
        </c:dLbls>
        <c:gapWidth val="100"/>
        <c:overlap val="100"/>
        <c:axId val="620689312"/>
        <c:axId val="620691280"/>
      </c:barChart>
      <c:catAx>
        <c:axId val="62068931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endParaRPr lang="nl-NL"/>
          </a:p>
        </c:txPr>
        <c:crossAx val="620691280"/>
        <c:crosses val="autoZero"/>
        <c:auto val="1"/>
        <c:lblAlgn val="ctr"/>
        <c:lblOffset val="100"/>
        <c:noMultiLvlLbl val="0"/>
      </c:catAx>
      <c:valAx>
        <c:axId val="620691280"/>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nl-NL" sz="1400"/>
                  <a:t>Circulair Peil Index (CPI)</a:t>
                </a:r>
                <a:r>
                  <a:rPr lang="nl-NL" sz="1400" baseline="0"/>
                  <a:t>  (max 100)</a:t>
                </a:r>
                <a:endParaRPr lang="nl-NL" sz="1400"/>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620689312"/>
        <c:crosses val="autoZero"/>
        <c:crossBetween val="between"/>
        <c:majorUnit val="20"/>
      </c:valAx>
      <c:spPr>
        <a:gradFill>
          <a:gsLst>
            <a:gs pos="25000">
              <a:srgbClr val="FFFF00">
                <a:alpha val="30000"/>
              </a:srgbClr>
            </a:gs>
            <a:gs pos="15000">
              <a:srgbClr val="92D050">
                <a:alpha val="30000"/>
              </a:srgbClr>
            </a:gs>
            <a:gs pos="5000">
              <a:srgbClr val="00B050">
                <a:alpha val="30000"/>
              </a:srgbClr>
            </a:gs>
            <a:gs pos="33000">
              <a:srgbClr val="FFC000">
                <a:alpha val="30000"/>
              </a:srgbClr>
            </a:gs>
            <a:gs pos="43000">
              <a:srgbClr val="FF0000">
                <a:alpha val="30000"/>
              </a:srgbClr>
            </a:gs>
            <a:gs pos="100000">
              <a:srgbClr val="C00000">
                <a:alpha val="3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NL" sz="1400"/>
              <a:t>Referentiemonitor Reductie Milieukosten / Circulariteit / CO2</a:t>
            </a:r>
          </a:p>
        </c:rich>
      </c:tx>
      <c:layout>
        <c:manualLayout>
          <c:xMode val="edge"/>
          <c:yMode val="edge"/>
          <c:x val="0.23003133202099738"/>
          <c:y val="2.7777880267646139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NL"/>
        </a:p>
      </c:txPr>
    </c:title>
    <c:autoTitleDeleted val="0"/>
    <c:plotArea>
      <c:layout/>
      <c:barChart>
        <c:barDir val="col"/>
        <c:grouping val="stacked"/>
        <c:varyColors val="0"/>
        <c:ser>
          <c:idx val="0"/>
          <c:order val="0"/>
          <c:spPr>
            <a:solidFill>
              <a:schemeClr val="accent1"/>
            </a:solidFill>
            <a:ln>
              <a:solidFill>
                <a:srgbClr val="FFFFFF"/>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('D1'!$AN$67,'D1'!$AN$71,'D1'!$AN$75)</c:f>
              <c:strCache>
                <c:ptCount val="3"/>
                <c:pt idx="0">
                  <c:v>MKI reductie t.o.v. referentie € </c:v>
                </c:pt>
                <c:pt idx="1">
                  <c:v>MCI reductie t.o.v. referentie  [-]</c:v>
                </c:pt>
                <c:pt idx="2">
                  <c:v>CO2 reductie t.o.v. referentie  tonCO2</c:v>
                </c:pt>
              </c:strCache>
            </c:strRef>
          </c:cat>
          <c:val>
            <c:numRef>
              <c:f>('D1'!$AO$67,'D1'!$AO$71,'D1'!$AO$75)</c:f>
            </c:numRef>
          </c:val>
          <c:extLst xmlns:c15="http://schemas.microsoft.com/office/drawing/2012/chart">
            <c:ext xmlns:c16="http://schemas.microsoft.com/office/drawing/2014/chart" uri="{C3380CC4-5D6E-409C-BE32-E72D297353CC}">
              <c16:uniqueId val="{00000006-EAD8-466A-87B0-BE9DA65C63A6}"/>
            </c:ext>
          </c:extLst>
        </c:ser>
        <c:ser>
          <c:idx val="1"/>
          <c:order val="1"/>
          <c:spPr>
            <a:solidFill>
              <a:srgbClr val="FFFFFF">
                <a:alpha val="30196"/>
              </a:srgbClr>
            </a:solidFill>
            <a:ln>
              <a:solidFill>
                <a:srgbClr val="FFFFFF">
                  <a:alpha val="0"/>
                </a:srgbClr>
              </a:solidFill>
            </a:ln>
            <a:effectLst/>
          </c:spPr>
          <c:invertIfNegative val="0"/>
          <c:dPt>
            <c:idx val="0"/>
            <c:invertIfNegative val="0"/>
            <c:bubble3D val="0"/>
            <c:spPr>
              <a:solidFill>
                <a:srgbClr val="92D050"/>
              </a:solidFill>
              <a:ln>
                <a:solidFill>
                  <a:srgbClr val="FFFFFF"/>
                </a:solidFill>
              </a:ln>
              <a:effectLst/>
            </c:spPr>
            <c:extLst>
              <c:ext xmlns:c16="http://schemas.microsoft.com/office/drawing/2014/chart" uri="{C3380CC4-5D6E-409C-BE32-E72D297353CC}">
                <c16:uniqueId val="{00000001-70A8-4D57-92EB-579146E5DCB4}"/>
              </c:ext>
            </c:extLst>
          </c:dPt>
          <c:dPt>
            <c:idx val="1"/>
            <c:invertIfNegative val="0"/>
            <c:bubble3D val="0"/>
            <c:spPr>
              <a:solidFill>
                <a:srgbClr val="00B0F0"/>
              </a:solidFill>
              <a:ln>
                <a:solidFill>
                  <a:srgbClr val="FFFFFF"/>
                </a:solidFill>
              </a:ln>
              <a:effectLst/>
            </c:spPr>
            <c:extLst>
              <c:ext xmlns:c16="http://schemas.microsoft.com/office/drawing/2014/chart" uri="{C3380CC4-5D6E-409C-BE32-E72D297353CC}">
                <c16:uniqueId val="{00000003-70A8-4D57-92EB-579146E5DCB4}"/>
              </c:ext>
            </c:extLst>
          </c:dPt>
          <c:dPt>
            <c:idx val="2"/>
            <c:invertIfNegative val="0"/>
            <c:bubble3D val="0"/>
            <c:spPr>
              <a:solidFill>
                <a:srgbClr val="FF0000"/>
              </a:solidFill>
              <a:ln>
                <a:solidFill>
                  <a:srgbClr val="FFFFFF"/>
                </a:solidFill>
              </a:ln>
              <a:effectLst/>
            </c:spPr>
            <c:extLst>
              <c:ext xmlns:c16="http://schemas.microsoft.com/office/drawing/2014/chart" uri="{C3380CC4-5D6E-409C-BE32-E72D297353CC}">
                <c16:uniqueId val="{00000005-70A8-4D57-92EB-579146E5DCB4}"/>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nl-N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('D1'!$AN$67,'D1'!$AN$71,'D1'!$AN$75)</c:f>
              <c:strCache>
                <c:ptCount val="3"/>
                <c:pt idx="0">
                  <c:v>MKI reductie t.o.v. referentie € </c:v>
                </c:pt>
                <c:pt idx="1">
                  <c:v>MCI reductie t.o.v. referentie  [-]</c:v>
                </c:pt>
                <c:pt idx="2">
                  <c:v>CO2 reductie t.o.v. referentie  tonCO2</c:v>
                </c:pt>
              </c:strCache>
            </c:strRef>
          </c:cat>
          <c:val>
            <c:numRef>
              <c:f>('D1'!$AP$67,'D1'!$AP$71,'D1'!$AP$75)</c:f>
              <c:numCache>
                <c:formatCode>0%</c:formatCode>
                <c:ptCount val="3"/>
                <c:pt idx="0">
                  <c:v>0</c:v>
                </c:pt>
                <c:pt idx="1">
                  <c:v>0</c:v>
                </c:pt>
                <c:pt idx="2">
                  <c:v>0</c:v>
                </c:pt>
              </c:numCache>
            </c:numRef>
          </c:val>
          <c:extLst xmlns:c15="http://schemas.microsoft.com/office/drawing/2012/chart">
            <c:ext xmlns:c16="http://schemas.microsoft.com/office/drawing/2014/chart" uri="{C3380CC4-5D6E-409C-BE32-E72D297353CC}">
              <c16:uniqueId val="{00000007-EAD8-466A-87B0-BE9DA65C63A6}"/>
            </c:ext>
          </c:extLst>
        </c:ser>
        <c:dLbls>
          <c:showLegendKey val="0"/>
          <c:showVal val="0"/>
          <c:showCatName val="0"/>
          <c:showSerName val="0"/>
          <c:showPercent val="0"/>
          <c:showBubbleSize val="0"/>
        </c:dLbls>
        <c:gapWidth val="50"/>
        <c:overlap val="100"/>
        <c:axId val="407253128"/>
        <c:axId val="407257720"/>
        <c:extLst/>
      </c:barChart>
      <c:catAx>
        <c:axId val="407253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407257720"/>
        <c:crosses val="autoZero"/>
        <c:auto val="1"/>
        <c:lblAlgn val="ctr"/>
        <c:lblOffset val="100"/>
        <c:noMultiLvlLbl val="0"/>
      </c:catAx>
      <c:valAx>
        <c:axId val="407257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nl-NL" sz="1400" baseline="0"/>
                  <a:t> Reductie MKI / MCI / CO2 [%]</a:t>
                </a:r>
                <a:endParaRPr lang="nl-NL" sz="1400"/>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nl-NL"/>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nl-NL"/>
          </a:p>
        </c:txPr>
        <c:crossAx val="407253128"/>
        <c:crosses val="autoZero"/>
        <c:crossBetween val="between"/>
        <c:majorUnit val="0.2"/>
      </c:valAx>
      <c:spPr>
        <a:gradFill>
          <a:gsLst>
            <a:gs pos="60000">
              <a:srgbClr val="FFFF00">
                <a:alpha val="50196"/>
              </a:srgbClr>
            </a:gs>
            <a:gs pos="29000">
              <a:srgbClr val="92D050">
                <a:alpha val="50196"/>
              </a:srgbClr>
            </a:gs>
            <a:gs pos="10000">
              <a:srgbClr val="00B050">
                <a:alpha val="50196"/>
              </a:srgbClr>
            </a:gs>
            <a:gs pos="70000">
              <a:srgbClr val="FFC000">
                <a:alpha val="50000"/>
              </a:srgbClr>
            </a:gs>
            <a:gs pos="80000">
              <a:srgbClr val="FF0000">
                <a:alpha val="50000"/>
              </a:srgbClr>
            </a:gs>
            <a:gs pos="100000">
              <a:srgbClr val="C00000">
                <a:alpha val="50000"/>
              </a:srgbClr>
            </a:gs>
          </a:gsLst>
          <a:lin ang="5400000" scaled="1"/>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nl-NL"/>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4.svg"/><Relationship Id="rId39" Type="http://schemas.openxmlformats.org/officeDocument/2006/relationships/hyperlink" Target="#intro!A132"/><Relationship Id="rId21" Type="http://schemas.openxmlformats.org/officeDocument/2006/relationships/image" Target="../media/image20.png"/><Relationship Id="rId34" Type="http://schemas.openxmlformats.org/officeDocument/2006/relationships/image" Target="../media/image29.png"/><Relationship Id="rId42" Type="http://schemas.openxmlformats.org/officeDocument/2006/relationships/hyperlink" Target="#intro!A116"/><Relationship Id="rId47" Type="http://schemas.openxmlformats.org/officeDocument/2006/relationships/image" Target="../media/image38.svg"/><Relationship Id="rId50" Type="http://schemas.openxmlformats.org/officeDocument/2006/relationships/image" Target="../media/image40.svg"/><Relationship Id="rId55" Type="http://schemas.openxmlformats.org/officeDocument/2006/relationships/image" Target="../media/image45.png"/><Relationship Id="rId7" Type="http://schemas.openxmlformats.org/officeDocument/2006/relationships/image" Target="../media/image7.png"/><Relationship Id="rId2" Type="http://schemas.openxmlformats.org/officeDocument/2006/relationships/image" Target="../media/image2.png"/><Relationship Id="rId16" Type="http://schemas.openxmlformats.org/officeDocument/2006/relationships/image" Target="../media/image16.png"/><Relationship Id="rId29" Type="http://schemas.openxmlformats.org/officeDocument/2006/relationships/image" Target="../media/image26.svg"/><Relationship Id="rId11" Type="http://schemas.openxmlformats.org/officeDocument/2006/relationships/image" Target="../media/image11.png"/><Relationship Id="rId24" Type="http://schemas.openxmlformats.org/officeDocument/2006/relationships/hyperlink" Target="#intro!A60"/><Relationship Id="rId32" Type="http://schemas.openxmlformats.org/officeDocument/2006/relationships/image" Target="../media/image28.svg"/><Relationship Id="rId37" Type="http://schemas.openxmlformats.org/officeDocument/2006/relationships/image" Target="../media/image31.png"/><Relationship Id="rId40" Type="http://schemas.openxmlformats.org/officeDocument/2006/relationships/image" Target="../media/image33.png"/><Relationship Id="rId45" Type="http://schemas.openxmlformats.org/officeDocument/2006/relationships/hyperlink" Target="#intro!A94"/><Relationship Id="rId53" Type="http://schemas.openxmlformats.org/officeDocument/2006/relationships/image" Target="../media/image43.png"/><Relationship Id="rId58" Type="http://schemas.openxmlformats.org/officeDocument/2006/relationships/image" Target="../media/image48.png"/><Relationship Id="rId5" Type="http://schemas.openxmlformats.org/officeDocument/2006/relationships/image" Target="../media/image5.png"/><Relationship Id="rId19" Type="http://schemas.openxmlformats.org/officeDocument/2006/relationships/hyperlink" Target="#'snelle start'!J180"/><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1.png"/><Relationship Id="rId27" Type="http://schemas.openxmlformats.org/officeDocument/2006/relationships/hyperlink" Target="#intro!A86"/><Relationship Id="rId30" Type="http://schemas.openxmlformats.org/officeDocument/2006/relationships/hyperlink" Target="#intro!A143"/><Relationship Id="rId35" Type="http://schemas.openxmlformats.org/officeDocument/2006/relationships/image" Target="../media/image30.svg"/><Relationship Id="rId43" Type="http://schemas.openxmlformats.org/officeDocument/2006/relationships/image" Target="../media/image35.png"/><Relationship Id="rId48" Type="http://schemas.openxmlformats.org/officeDocument/2006/relationships/hyperlink" Target="#intro!A78"/><Relationship Id="rId56" Type="http://schemas.openxmlformats.org/officeDocument/2006/relationships/image" Target="../media/image46.png"/><Relationship Id="rId8" Type="http://schemas.openxmlformats.org/officeDocument/2006/relationships/image" Target="../media/image8.png"/><Relationship Id="rId51" Type="http://schemas.openxmlformats.org/officeDocument/2006/relationships/image" Target="../media/image41.pn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3.png"/><Relationship Id="rId33" Type="http://schemas.openxmlformats.org/officeDocument/2006/relationships/hyperlink" Target="#intro!A83"/><Relationship Id="rId38" Type="http://schemas.openxmlformats.org/officeDocument/2006/relationships/image" Target="../media/image32.svg"/><Relationship Id="rId46" Type="http://schemas.openxmlformats.org/officeDocument/2006/relationships/image" Target="../media/image37.png"/><Relationship Id="rId20" Type="http://schemas.openxmlformats.org/officeDocument/2006/relationships/image" Target="../media/image19.png"/><Relationship Id="rId41" Type="http://schemas.openxmlformats.org/officeDocument/2006/relationships/image" Target="../media/image34.svg"/><Relationship Id="rId54" Type="http://schemas.openxmlformats.org/officeDocument/2006/relationships/image" Target="../media/image44.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png"/><Relationship Id="rId23" Type="http://schemas.openxmlformats.org/officeDocument/2006/relationships/image" Target="../media/image22.png"/><Relationship Id="rId28" Type="http://schemas.openxmlformats.org/officeDocument/2006/relationships/image" Target="../media/image25.png"/><Relationship Id="rId36" Type="http://schemas.openxmlformats.org/officeDocument/2006/relationships/hyperlink" Target="#intro!A149"/><Relationship Id="rId49" Type="http://schemas.openxmlformats.org/officeDocument/2006/relationships/image" Target="../media/image39.png"/><Relationship Id="rId57" Type="http://schemas.openxmlformats.org/officeDocument/2006/relationships/image" Target="../media/image47.png"/><Relationship Id="rId10" Type="http://schemas.openxmlformats.org/officeDocument/2006/relationships/image" Target="../media/image10.jpeg"/><Relationship Id="rId31" Type="http://schemas.openxmlformats.org/officeDocument/2006/relationships/image" Target="../media/image27.png"/><Relationship Id="rId44" Type="http://schemas.openxmlformats.org/officeDocument/2006/relationships/image" Target="../media/image36.svg"/><Relationship Id="rId52" Type="http://schemas.openxmlformats.org/officeDocument/2006/relationships/image" Target="../media/image42.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image" Target="../media/image12.png"/></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image" Target="../media/image12.png"/><Relationship Id="rId1" Type="http://schemas.openxmlformats.org/officeDocument/2006/relationships/chart" Target="../charts/chart4.xml"/></Relationships>
</file>

<file path=xl/drawings/_rels/drawing4.xml.rels><?xml version="1.0" encoding="UTF-8" standalone="yes"?>
<Relationships xmlns="http://schemas.openxmlformats.org/package/2006/relationships"><Relationship Id="rId8" Type="http://schemas.openxmlformats.org/officeDocument/2006/relationships/image" Target="../media/image12.png"/><Relationship Id="rId3" Type="http://schemas.openxmlformats.org/officeDocument/2006/relationships/chart" Target="../charts/chart8.xml"/><Relationship Id="rId7" Type="http://schemas.openxmlformats.org/officeDocument/2006/relationships/image" Target="../media/image50.png"/><Relationship Id="rId2" Type="http://schemas.openxmlformats.org/officeDocument/2006/relationships/chart" Target="../charts/chart7.xml"/><Relationship Id="rId1" Type="http://schemas.openxmlformats.org/officeDocument/2006/relationships/chart" Target="../charts/chart6.xml"/><Relationship Id="rId6" Type="http://schemas.openxmlformats.org/officeDocument/2006/relationships/chart" Target="../charts/chart11.xml"/><Relationship Id="rId5" Type="http://schemas.openxmlformats.org/officeDocument/2006/relationships/chart" Target="../charts/chart10.xml"/><Relationship Id="rId4" Type="http://schemas.openxmlformats.org/officeDocument/2006/relationships/chart" Target="../charts/chart9.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 Id="rId4" Type="http://schemas.openxmlformats.org/officeDocument/2006/relationships/image" Target="../media/image12.png"/></Relationships>
</file>

<file path=xl/drawings/_rels/drawing6.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chart" Target="../charts/chart16.xml"/><Relationship Id="rId1" Type="http://schemas.openxmlformats.org/officeDocument/2006/relationships/chart" Target="../charts/chart15.xml"/><Relationship Id="rId5" Type="http://schemas.openxmlformats.org/officeDocument/2006/relationships/image" Target="../media/image12.png"/><Relationship Id="rId4" Type="http://schemas.openxmlformats.org/officeDocument/2006/relationships/chart" Target="../charts/chart18.xml"/></Relationships>
</file>

<file path=xl/drawings/_rels/drawing7.xml.rels><?xml version="1.0" encoding="UTF-8" standalone="yes"?>
<Relationships xmlns="http://schemas.openxmlformats.org/package/2006/relationships"><Relationship Id="rId3" Type="http://schemas.openxmlformats.org/officeDocument/2006/relationships/chart" Target="../charts/chart21.xml"/><Relationship Id="rId2" Type="http://schemas.openxmlformats.org/officeDocument/2006/relationships/chart" Target="../charts/chart20.xml"/><Relationship Id="rId1" Type="http://schemas.openxmlformats.org/officeDocument/2006/relationships/chart" Target="../charts/chart19.xml"/><Relationship Id="rId4" Type="http://schemas.openxmlformats.org/officeDocument/2006/relationships/image" Target="../media/image12.png"/></Relationships>
</file>

<file path=xl/drawings/_rels/drawing8.xml.rels><?xml version="1.0" encoding="UTF-8" standalone="yes"?>
<Relationships xmlns="http://schemas.openxmlformats.org/package/2006/relationships"><Relationship Id="rId3" Type="http://schemas.openxmlformats.org/officeDocument/2006/relationships/chart" Target="../charts/chart24.xml"/><Relationship Id="rId7" Type="http://schemas.openxmlformats.org/officeDocument/2006/relationships/chart" Target="../charts/chart27.xml"/><Relationship Id="rId2" Type="http://schemas.openxmlformats.org/officeDocument/2006/relationships/chart" Target="../charts/chart23.xml"/><Relationship Id="rId1" Type="http://schemas.openxmlformats.org/officeDocument/2006/relationships/chart" Target="../charts/chart22.xml"/><Relationship Id="rId6" Type="http://schemas.openxmlformats.org/officeDocument/2006/relationships/chart" Target="../charts/chart26.xml"/><Relationship Id="rId5" Type="http://schemas.openxmlformats.org/officeDocument/2006/relationships/chart" Target="../charts/chart25.xml"/><Relationship Id="rId4" Type="http://schemas.openxmlformats.org/officeDocument/2006/relationships/image" Target="../media/image12.png"/></Relationships>
</file>

<file path=xl/drawings/_rels/drawing9.xml.rels><?xml version="1.0" encoding="UTF-8" standalone="yes"?>
<Relationships xmlns="http://schemas.openxmlformats.org/package/2006/relationships"><Relationship Id="rId3" Type="http://schemas.openxmlformats.org/officeDocument/2006/relationships/chart" Target="../charts/chart29.xml"/><Relationship Id="rId2" Type="http://schemas.openxmlformats.org/officeDocument/2006/relationships/image" Target="../media/image12.png"/><Relationship Id="rId1" Type="http://schemas.openxmlformats.org/officeDocument/2006/relationships/chart" Target="../charts/chart28.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31.xml"/><Relationship Id="rId2" Type="http://schemas.openxmlformats.org/officeDocument/2006/relationships/image" Target="../media/image12.png"/><Relationship Id="rId1" Type="http://schemas.openxmlformats.org/officeDocument/2006/relationships/chart" Target="../charts/chart30.xml"/></Relationships>
</file>

<file path=xl/drawings/_rels/drawing11.xml.rels><?xml version="1.0" encoding="UTF-8" standalone="yes"?>
<Relationships xmlns="http://schemas.openxmlformats.org/package/2006/relationships"><Relationship Id="rId3" Type="http://schemas.openxmlformats.org/officeDocument/2006/relationships/chart" Target="../charts/chart33.xml"/><Relationship Id="rId2" Type="http://schemas.openxmlformats.org/officeDocument/2006/relationships/image" Target="../media/image12.png"/><Relationship Id="rId1" Type="http://schemas.openxmlformats.org/officeDocument/2006/relationships/chart" Target="../charts/chart32.xml"/></Relationships>
</file>

<file path=xl/drawings/_rels/drawing12.xml.rels><?xml version="1.0" encoding="UTF-8" standalone="yes"?>
<Relationships xmlns="http://schemas.openxmlformats.org/package/2006/relationships"><Relationship Id="rId3" Type="http://schemas.openxmlformats.org/officeDocument/2006/relationships/chart" Target="../charts/chart35.xml"/><Relationship Id="rId2" Type="http://schemas.openxmlformats.org/officeDocument/2006/relationships/image" Target="../media/image12.png"/><Relationship Id="rId1" Type="http://schemas.openxmlformats.org/officeDocument/2006/relationships/chart" Target="../charts/chart34.xml"/></Relationships>
</file>

<file path=xl/drawings/drawing1.xml><?xml version="1.0" encoding="utf-8"?>
<xdr:wsDr xmlns:xdr="http://schemas.openxmlformats.org/drawingml/2006/spreadsheetDrawing" xmlns:a="http://schemas.openxmlformats.org/drawingml/2006/main">
  <xdr:twoCellAnchor editAs="oneCell">
    <xdr:from>
      <xdr:col>0</xdr:col>
      <xdr:colOff>457201</xdr:colOff>
      <xdr:row>210</xdr:row>
      <xdr:rowOff>97974</xdr:rowOff>
    </xdr:from>
    <xdr:to>
      <xdr:col>5</xdr:col>
      <xdr:colOff>402772</xdr:colOff>
      <xdr:row>225</xdr:row>
      <xdr:rowOff>122487</xdr:rowOff>
    </xdr:to>
    <xdr:pic>
      <xdr:nvPicPr>
        <xdr:cNvPr id="137" name="Afbeelding 136">
          <a:extLst>
            <a:ext uri="{FF2B5EF4-FFF2-40B4-BE49-F238E27FC236}">
              <a16:creationId xmlns:a16="http://schemas.microsoft.com/office/drawing/2014/main" id="{98D8CB93-D13F-4D1C-B2BA-43B396D8110D}"/>
            </a:ext>
          </a:extLst>
        </xdr:cNvPr>
        <xdr:cNvPicPr>
          <a:picLocks noChangeAspect="1"/>
        </xdr:cNvPicPr>
      </xdr:nvPicPr>
      <xdr:blipFill>
        <a:blip xmlns:r="http://schemas.openxmlformats.org/officeDocument/2006/relationships" r:embed="rId1"/>
        <a:stretch>
          <a:fillRect/>
        </a:stretch>
      </xdr:blipFill>
      <xdr:spPr>
        <a:xfrm>
          <a:off x="457201" y="48439254"/>
          <a:ext cx="3062151" cy="2767713"/>
        </a:xfrm>
        <a:prstGeom prst="rect">
          <a:avLst/>
        </a:prstGeom>
      </xdr:spPr>
    </xdr:pic>
    <xdr:clientData/>
  </xdr:twoCellAnchor>
  <xdr:twoCellAnchor>
    <xdr:from>
      <xdr:col>3</xdr:col>
      <xdr:colOff>1</xdr:colOff>
      <xdr:row>460</xdr:row>
      <xdr:rowOff>1</xdr:rowOff>
    </xdr:from>
    <xdr:to>
      <xdr:col>15</xdr:col>
      <xdr:colOff>391887</xdr:colOff>
      <xdr:row>490</xdr:row>
      <xdr:rowOff>163286</xdr:rowOff>
    </xdr:to>
    <xdr:grpSp>
      <xdr:nvGrpSpPr>
        <xdr:cNvPr id="102" name="Groep 101">
          <a:extLst>
            <a:ext uri="{FF2B5EF4-FFF2-40B4-BE49-F238E27FC236}">
              <a16:creationId xmlns:a16="http://schemas.microsoft.com/office/drawing/2014/main" id="{438CF6BF-AD75-47E0-AE65-5591A324EED8}"/>
            </a:ext>
          </a:extLst>
        </xdr:cNvPr>
        <xdr:cNvGrpSpPr/>
      </xdr:nvGrpSpPr>
      <xdr:grpSpPr>
        <a:xfrm>
          <a:off x="1897118" y="94540553"/>
          <a:ext cx="7707086" cy="5681216"/>
          <a:chOff x="194482" y="499898"/>
          <a:chExt cx="9575090" cy="6643281"/>
        </a:xfrm>
      </xdr:grpSpPr>
      <xdr:pic>
        <xdr:nvPicPr>
          <xdr:cNvPr id="103" name="Afbeelding 102">
            <a:extLst>
              <a:ext uri="{FF2B5EF4-FFF2-40B4-BE49-F238E27FC236}">
                <a16:creationId xmlns:a16="http://schemas.microsoft.com/office/drawing/2014/main" id="{91D8FF1A-1A7E-4016-94EF-74A5ACD460D9}"/>
              </a:ext>
            </a:extLst>
          </xdr:cNvPr>
          <xdr:cNvPicPr>
            <a:picLocks noChangeAspect="1"/>
          </xdr:cNvPicPr>
        </xdr:nvPicPr>
        <xdr:blipFill>
          <a:blip xmlns:r="http://schemas.openxmlformats.org/officeDocument/2006/relationships" r:embed="rId2"/>
          <a:stretch>
            <a:fillRect/>
          </a:stretch>
        </xdr:blipFill>
        <xdr:spPr>
          <a:xfrm>
            <a:off x="3939195" y="1110615"/>
            <a:ext cx="1816271" cy="1793593"/>
          </a:xfrm>
          <a:prstGeom prst="rect">
            <a:avLst/>
          </a:prstGeom>
        </xdr:spPr>
      </xdr:pic>
      <xdr:pic>
        <xdr:nvPicPr>
          <xdr:cNvPr id="104" name="Afbeelding 103">
            <a:extLst>
              <a:ext uri="{FF2B5EF4-FFF2-40B4-BE49-F238E27FC236}">
                <a16:creationId xmlns:a16="http://schemas.microsoft.com/office/drawing/2014/main" id="{17D7D1B6-29F2-45C3-A133-E8A303B26C4C}"/>
              </a:ext>
            </a:extLst>
          </xdr:cNvPr>
          <xdr:cNvPicPr>
            <a:picLocks noChangeAspect="1"/>
          </xdr:cNvPicPr>
        </xdr:nvPicPr>
        <xdr:blipFill>
          <a:blip xmlns:r="http://schemas.openxmlformats.org/officeDocument/2006/relationships" r:embed="rId3"/>
          <a:stretch>
            <a:fillRect/>
          </a:stretch>
        </xdr:blipFill>
        <xdr:spPr>
          <a:xfrm>
            <a:off x="2838272" y="3215466"/>
            <a:ext cx="1849564" cy="1788050"/>
          </a:xfrm>
          <a:prstGeom prst="rect">
            <a:avLst/>
          </a:prstGeom>
        </xdr:spPr>
      </xdr:pic>
      <xdr:pic>
        <xdr:nvPicPr>
          <xdr:cNvPr id="105" name="Afbeelding 104">
            <a:extLst>
              <a:ext uri="{FF2B5EF4-FFF2-40B4-BE49-F238E27FC236}">
                <a16:creationId xmlns:a16="http://schemas.microsoft.com/office/drawing/2014/main" id="{94815461-EB8A-4DDB-9BE1-D34D977EDF92}"/>
              </a:ext>
            </a:extLst>
          </xdr:cNvPr>
          <xdr:cNvPicPr>
            <a:picLocks noChangeAspect="1"/>
          </xdr:cNvPicPr>
        </xdr:nvPicPr>
        <xdr:blipFill>
          <a:blip xmlns:r="http://schemas.openxmlformats.org/officeDocument/2006/relationships" r:embed="rId4"/>
          <a:stretch>
            <a:fillRect/>
          </a:stretch>
        </xdr:blipFill>
        <xdr:spPr>
          <a:xfrm>
            <a:off x="5027810" y="3215467"/>
            <a:ext cx="1677835" cy="1789955"/>
          </a:xfrm>
          <a:prstGeom prst="rect">
            <a:avLst/>
          </a:prstGeom>
        </xdr:spPr>
      </xdr:pic>
      <xdr:pic>
        <xdr:nvPicPr>
          <xdr:cNvPr id="106" name="Afbeelding 105">
            <a:extLst>
              <a:ext uri="{FF2B5EF4-FFF2-40B4-BE49-F238E27FC236}">
                <a16:creationId xmlns:a16="http://schemas.microsoft.com/office/drawing/2014/main" id="{2A23B654-79FB-4A3A-88E5-825D3DEA05F0}"/>
              </a:ext>
            </a:extLst>
          </xdr:cNvPr>
          <xdr:cNvPicPr>
            <a:picLocks noChangeAspect="1"/>
          </xdr:cNvPicPr>
        </xdr:nvPicPr>
        <xdr:blipFill>
          <a:blip xmlns:r="http://schemas.openxmlformats.org/officeDocument/2006/relationships" r:embed="rId5"/>
          <a:stretch>
            <a:fillRect/>
          </a:stretch>
        </xdr:blipFill>
        <xdr:spPr>
          <a:xfrm>
            <a:off x="194482" y="5341274"/>
            <a:ext cx="1805126" cy="1801905"/>
          </a:xfrm>
          <a:prstGeom prst="rect">
            <a:avLst/>
          </a:prstGeom>
        </xdr:spPr>
      </xdr:pic>
      <xdr:pic>
        <xdr:nvPicPr>
          <xdr:cNvPr id="107" name="Afbeelding 106">
            <a:extLst>
              <a:ext uri="{FF2B5EF4-FFF2-40B4-BE49-F238E27FC236}">
                <a16:creationId xmlns:a16="http://schemas.microsoft.com/office/drawing/2014/main" id="{2A525CBD-5A5E-4452-B2FF-7D9B054E3969}"/>
              </a:ext>
            </a:extLst>
          </xdr:cNvPr>
          <xdr:cNvPicPr>
            <a:picLocks noChangeAspect="1"/>
          </xdr:cNvPicPr>
        </xdr:nvPicPr>
        <xdr:blipFill>
          <a:blip xmlns:r="http://schemas.openxmlformats.org/officeDocument/2006/relationships" r:embed="rId6"/>
          <a:stretch>
            <a:fillRect/>
          </a:stretch>
        </xdr:blipFill>
        <xdr:spPr>
          <a:xfrm>
            <a:off x="2168582" y="5333653"/>
            <a:ext cx="1815038" cy="1788570"/>
          </a:xfrm>
          <a:prstGeom prst="rect">
            <a:avLst/>
          </a:prstGeom>
        </xdr:spPr>
      </xdr:pic>
      <xdr:pic>
        <xdr:nvPicPr>
          <xdr:cNvPr id="108" name="Afbeelding 107">
            <a:extLst>
              <a:ext uri="{FF2B5EF4-FFF2-40B4-BE49-F238E27FC236}">
                <a16:creationId xmlns:a16="http://schemas.microsoft.com/office/drawing/2014/main" id="{7DBCB061-D3BD-4FED-9B08-D5CF1DE848B6}"/>
              </a:ext>
            </a:extLst>
          </xdr:cNvPr>
          <xdr:cNvPicPr>
            <a:picLocks noChangeAspect="1"/>
          </xdr:cNvPicPr>
        </xdr:nvPicPr>
        <xdr:blipFill>
          <a:blip xmlns:r="http://schemas.openxmlformats.org/officeDocument/2006/relationships" r:embed="rId7"/>
          <a:stretch>
            <a:fillRect/>
          </a:stretch>
        </xdr:blipFill>
        <xdr:spPr>
          <a:xfrm>
            <a:off x="4129769" y="5333654"/>
            <a:ext cx="1677695" cy="1792380"/>
          </a:xfrm>
          <a:prstGeom prst="rect">
            <a:avLst/>
          </a:prstGeom>
        </xdr:spPr>
      </xdr:pic>
      <xdr:pic>
        <xdr:nvPicPr>
          <xdr:cNvPr id="109" name="Afbeelding 108">
            <a:extLst>
              <a:ext uri="{FF2B5EF4-FFF2-40B4-BE49-F238E27FC236}">
                <a16:creationId xmlns:a16="http://schemas.microsoft.com/office/drawing/2014/main" id="{96B4284A-FEAE-487B-BDD6-CFE77DB9164C}"/>
              </a:ext>
            </a:extLst>
          </xdr:cNvPr>
          <xdr:cNvPicPr>
            <a:picLocks noChangeAspect="1"/>
          </xdr:cNvPicPr>
        </xdr:nvPicPr>
        <xdr:blipFill>
          <a:blip xmlns:r="http://schemas.openxmlformats.org/officeDocument/2006/relationships" r:embed="rId8"/>
          <a:stretch>
            <a:fillRect/>
          </a:stretch>
        </xdr:blipFill>
        <xdr:spPr>
          <a:xfrm>
            <a:off x="5961293" y="5339370"/>
            <a:ext cx="1808405" cy="1786665"/>
          </a:xfrm>
          <a:prstGeom prst="rect">
            <a:avLst/>
          </a:prstGeom>
        </xdr:spPr>
      </xdr:pic>
      <xdr:pic>
        <xdr:nvPicPr>
          <xdr:cNvPr id="110" name="Afbeelding 109">
            <a:extLst>
              <a:ext uri="{FF2B5EF4-FFF2-40B4-BE49-F238E27FC236}">
                <a16:creationId xmlns:a16="http://schemas.microsoft.com/office/drawing/2014/main" id="{913A943B-2692-49CC-9CB4-FE61DB8EEFE8}"/>
              </a:ext>
            </a:extLst>
          </xdr:cNvPr>
          <xdr:cNvPicPr>
            <a:picLocks noChangeAspect="1"/>
          </xdr:cNvPicPr>
        </xdr:nvPicPr>
        <xdr:blipFill>
          <a:blip xmlns:r="http://schemas.openxmlformats.org/officeDocument/2006/relationships" r:embed="rId9"/>
          <a:stretch>
            <a:fillRect/>
          </a:stretch>
        </xdr:blipFill>
        <xdr:spPr>
          <a:xfrm>
            <a:off x="7920496" y="5318240"/>
            <a:ext cx="1849076" cy="1801905"/>
          </a:xfrm>
          <a:prstGeom prst="rect">
            <a:avLst/>
          </a:prstGeom>
        </xdr:spPr>
      </xdr:pic>
      <xdr:sp macro="" textlink="">
        <xdr:nvSpPr>
          <xdr:cNvPr id="111" name="Tekstvak 110">
            <a:extLst>
              <a:ext uri="{FF2B5EF4-FFF2-40B4-BE49-F238E27FC236}">
                <a16:creationId xmlns:a16="http://schemas.microsoft.com/office/drawing/2014/main" id="{F8DEBBEB-410B-4F1E-936D-7B1FA18039C4}"/>
              </a:ext>
            </a:extLst>
          </xdr:cNvPr>
          <xdr:cNvSpPr txBox="1"/>
        </xdr:nvSpPr>
        <xdr:spPr>
          <a:xfrm>
            <a:off x="1002987" y="499898"/>
            <a:ext cx="8356367" cy="3974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nl-NL" sz="1600">
                <a:solidFill>
                  <a:srgbClr val="0070C0"/>
                </a:solidFill>
              </a:rPr>
              <a:t>De acht circulaire ontwerpprincipes</a:t>
            </a:r>
            <a:r>
              <a:rPr lang="nl-NL" sz="1600" baseline="0">
                <a:solidFill>
                  <a:srgbClr val="0070C0"/>
                </a:solidFill>
              </a:rPr>
              <a:t> voor het MIRT-proces</a:t>
            </a:r>
          </a:p>
        </xdr:txBody>
      </xdr:sp>
    </xdr:grpSp>
    <xdr:clientData/>
  </xdr:twoCellAnchor>
  <xdr:twoCellAnchor>
    <xdr:from>
      <xdr:col>3</xdr:col>
      <xdr:colOff>130628</xdr:colOff>
      <xdr:row>498</xdr:row>
      <xdr:rowOff>76200</xdr:rowOff>
    </xdr:from>
    <xdr:to>
      <xdr:col>5</xdr:col>
      <xdr:colOff>348341</xdr:colOff>
      <xdr:row>507</xdr:row>
      <xdr:rowOff>141514</xdr:rowOff>
    </xdr:to>
    <xdr:sp macro="" textlink="">
      <xdr:nvSpPr>
        <xdr:cNvPr id="112" name="Gelijkbenige driehoek 111">
          <a:extLst>
            <a:ext uri="{FF2B5EF4-FFF2-40B4-BE49-F238E27FC236}">
              <a16:creationId xmlns:a16="http://schemas.microsoft.com/office/drawing/2014/main" id="{0D9BD5C3-3AD3-4D84-A61F-78E7C2C6A170}"/>
            </a:ext>
          </a:extLst>
        </xdr:cNvPr>
        <xdr:cNvSpPr/>
      </xdr:nvSpPr>
      <xdr:spPr>
        <a:xfrm rot="10800000">
          <a:off x="2028008" y="101094540"/>
          <a:ext cx="1436913" cy="1711234"/>
        </a:xfrm>
        <a:prstGeom prst="triangle">
          <a:avLst/>
        </a:prstGeom>
        <a:gradFill>
          <a:gsLst>
            <a:gs pos="0">
              <a:srgbClr val="FF0000"/>
            </a:gs>
            <a:gs pos="62000">
              <a:schemeClr val="accent6">
                <a:lumMod val="40000"/>
                <a:lumOff val="60000"/>
              </a:schemeClr>
            </a:gs>
            <a:gs pos="83000">
              <a:srgbClr val="92D050"/>
            </a:gs>
            <a:gs pos="100000">
              <a:srgbClr val="00B050"/>
            </a:gs>
          </a:gsLst>
          <a:lin ang="5400000" scaled="1"/>
        </a:gra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0</xdr:col>
      <xdr:colOff>598713</xdr:colOff>
      <xdr:row>0</xdr:row>
      <xdr:rowOff>130628</xdr:rowOff>
    </xdr:from>
    <xdr:to>
      <xdr:col>3</xdr:col>
      <xdr:colOff>566057</xdr:colOff>
      <xdr:row>5</xdr:row>
      <xdr:rowOff>168755</xdr:rowOff>
    </xdr:to>
    <xdr:grpSp>
      <xdr:nvGrpSpPr>
        <xdr:cNvPr id="113" name="Groep 112">
          <a:extLst>
            <a:ext uri="{FF2B5EF4-FFF2-40B4-BE49-F238E27FC236}">
              <a16:creationId xmlns:a16="http://schemas.microsoft.com/office/drawing/2014/main" id="{801E66FB-EDFD-421E-906D-96BBBEE64B12}"/>
            </a:ext>
          </a:extLst>
        </xdr:cNvPr>
        <xdr:cNvGrpSpPr/>
      </xdr:nvGrpSpPr>
      <xdr:grpSpPr>
        <a:xfrm>
          <a:off x="598713" y="130628"/>
          <a:ext cx="1864461" cy="1141713"/>
          <a:chOff x="7075714" y="0"/>
          <a:chExt cx="3314700" cy="1898466"/>
        </a:xfrm>
      </xdr:grpSpPr>
      <xdr:pic>
        <xdr:nvPicPr>
          <xdr:cNvPr id="114" name="image">
            <a:extLst>
              <a:ext uri="{FF2B5EF4-FFF2-40B4-BE49-F238E27FC236}">
                <a16:creationId xmlns:a16="http://schemas.microsoft.com/office/drawing/2014/main" id="{F1E1162B-8AA3-4D4F-BC35-569C32504BD9}"/>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t="30441" b="27785"/>
          <a:stretch/>
        </xdr:blipFill>
        <xdr:spPr bwMode="auto">
          <a:xfrm>
            <a:off x="7075714" y="0"/>
            <a:ext cx="3314700" cy="1404258"/>
          </a:xfrm>
          <a:prstGeom prst="rect">
            <a:avLst/>
          </a:prstGeom>
          <a:noFill/>
          <a:extLst>
            <a:ext uri="{909E8E84-426E-40DD-AFC4-6F175D3DCCD1}">
              <a14:hiddenFill xmlns:a14="http://schemas.microsoft.com/office/drawing/2010/main">
                <a:solidFill>
                  <a:srgbClr val="FFFFFF"/>
                </a:solidFill>
              </a14:hiddenFill>
            </a:ext>
          </a:extLst>
        </xdr:spPr>
      </xdr:pic>
      <xdr:pic>
        <xdr:nvPicPr>
          <xdr:cNvPr id="115" name="Afbeelding 114">
            <a:extLst>
              <a:ext uri="{FF2B5EF4-FFF2-40B4-BE49-F238E27FC236}">
                <a16:creationId xmlns:a16="http://schemas.microsoft.com/office/drawing/2014/main" id="{AE86A861-D014-4C56-88F9-5F42668357DF}"/>
              </a:ext>
            </a:extLst>
          </xdr:cNvPr>
          <xdr:cNvPicPr>
            <a:picLocks noChangeAspect="1"/>
          </xdr:cNvPicPr>
        </xdr:nvPicPr>
        <xdr:blipFill rotWithShape="1">
          <a:blip xmlns:r="http://schemas.openxmlformats.org/officeDocument/2006/relationships" r:embed="rId11"/>
          <a:srcRect l="4194" t="70032" r="-1"/>
          <a:stretch/>
        </xdr:blipFill>
        <xdr:spPr>
          <a:xfrm rot="16200000">
            <a:off x="8989856" y="574493"/>
            <a:ext cx="761838" cy="1886107"/>
          </a:xfrm>
          <a:prstGeom prst="rect">
            <a:avLst/>
          </a:prstGeom>
        </xdr:spPr>
      </xdr:pic>
    </xdr:grpSp>
    <xdr:clientData/>
  </xdr:twoCellAnchor>
  <xdr:twoCellAnchor editAs="oneCell">
    <xdr:from>
      <xdr:col>12</xdr:col>
      <xdr:colOff>0</xdr:colOff>
      <xdr:row>4</xdr:row>
      <xdr:rowOff>0</xdr:rowOff>
    </xdr:from>
    <xdr:to>
      <xdr:col>12</xdr:col>
      <xdr:colOff>304800</xdr:colOff>
      <xdr:row>5</xdr:row>
      <xdr:rowOff>38102</xdr:rowOff>
    </xdr:to>
    <xdr:sp macro="" textlink="">
      <xdr:nvSpPr>
        <xdr:cNvPr id="116" name="AutoShape 1" descr="Home | Hoogwaterbeschermingsprogramma">
          <a:extLst>
            <a:ext uri="{FF2B5EF4-FFF2-40B4-BE49-F238E27FC236}">
              <a16:creationId xmlns:a16="http://schemas.microsoft.com/office/drawing/2014/main" id="{C3F89450-C63D-4987-B530-109AC86400E0}"/>
            </a:ext>
          </a:extLst>
        </xdr:cNvPr>
        <xdr:cNvSpPr>
          <a:spLocks noChangeAspect="1" noChangeArrowheads="1"/>
        </xdr:cNvSpPr>
      </xdr:nvSpPr>
      <xdr:spPr bwMode="auto">
        <a:xfrm>
          <a:off x="7383780" y="830580"/>
          <a:ext cx="304800" cy="304802"/>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10</xdr:col>
      <xdr:colOff>242752</xdr:colOff>
      <xdr:row>1</xdr:row>
      <xdr:rowOff>70964</xdr:rowOff>
    </xdr:from>
    <xdr:to>
      <xdr:col>13</xdr:col>
      <xdr:colOff>115201</xdr:colOff>
      <xdr:row>4</xdr:row>
      <xdr:rowOff>138504</xdr:rowOff>
    </xdr:to>
    <xdr:pic>
      <xdr:nvPicPr>
        <xdr:cNvPr id="117" name="Afbeelding 116">
          <a:extLst>
            <a:ext uri="{FF2B5EF4-FFF2-40B4-BE49-F238E27FC236}">
              <a16:creationId xmlns:a16="http://schemas.microsoft.com/office/drawing/2014/main" id="{E9F20D1A-8845-432A-85AA-986757138438}"/>
            </a:ext>
          </a:extLst>
        </xdr:cNvPr>
        <xdr:cNvPicPr>
          <a:picLocks noChangeAspect="1"/>
        </xdr:cNvPicPr>
      </xdr:nvPicPr>
      <xdr:blipFill>
        <a:blip xmlns:r="http://schemas.openxmlformats.org/officeDocument/2006/relationships" r:embed="rId12"/>
        <a:stretch>
          <a:fillRect/>
        </a:stretch>
      </xdr:blipFill>
      <xdr:spPr>
        <a:xfrm>
          <a:off x="6407332" y="253844"/>
          <a:ext cx="1701249" cy="715240"/>
        </a:xfrm>
        <a:prstGeom prst="rect">
          <a:avLst/>
        </a:prstGeom>
      </xdr:spPr>
    </xdr:pic>
    <xdr:clientData/>
  </xdr:twoCellAnchor>
  <xdr:twoCellAnchor editAs="oneCell">
    <xdr:from>
      <xdr:col>0</xdr:col>
      <xdr:colOff>76200</xdr:colOff>
      <xdr:row>77</xdr:row>
      <xdr:rowOff>86737</xdr:rowOff>
    </xdr:from>
    <xdr:to>
      <xdr:col>2</xdr:col>
      <xdr:colOff>141443</xdr:colOff>
      <xdr:row>77</xdr:row>
      <xdr:rowOff>827312</xdr:rowOff>
    </xdr:to>
    <xdr:pic>
      <xdr:nvPicPr>
        <xdr:cNvPr id="118" name="Afbeelding 117">
          <a:extLst>
            <a:ext uri="{FF2B5EF4-FFF2-40B4-BE49-F238E27FC236}">
              <a16:creationId xmlns:a16="http://schemas.microsoft.com/office/drawing/2014/main" id="{00130A84-BFF9-483B-ADF4-2642815DB1FC}"/>
            </a:ext>
          </a:extLst>
        </xdr:cNvPr>
        <xdr:cNvPicPr>
          <a:picLocks noChangeAspect="1"/>
        </xdr:cNvPicPr>
      </xdr:nvPicPr>
      <xdr:blipFill>
        <a:blip xmlns:r="http://schemas.openxmlformats.org/officeDocument/2006/relationships" r:embed="rId13"/>
        <a:stretch>
          <a:fillRect/>
        </a:stretch>
      </xdr:blipFill>
      <xdr:spPr>
        <a:xfrm>
          <a:off x="76200" y="17856577"/>
          <a:ext cx="1353023" cy="740575"/>
        </a:xfrm>
        <a:prstGeom prst="rect">
          <a:avLst/>
        </a:prstGeom>
      </xdr:spPr>
    </xdr:pic>
    <xdr:clientData/>
  </xdr:twoCellAnchor>
  <xdr:twoCellAnchor editAs="oneCell">
    <xdr:from>
      <xdr:col>0</xdr:col>
      <xdr:colOff>54429</xdr:colOff>
      <xdr:row>82</xdr:row>
      <xdr:rowOff>16894</xdr:rowOff>
    </xdr:from>
    <xdr:to>
      <xdr:col>1</xdr:col>
      <xdr:colOff>272144</xdr:colOff>
      <xdr:row>82</xdr:row>
      <xdr:rowOff>1059466</xdr:rowOff>
    </xdr:to>
    <xdr:pic>
      <xdr:nvPicPr>
        <xdr:cNvPr id="119" name="Afbeelding 118">
          <a:extLst>
            <a:ext uri="{FF2B5EF4-FFF2-40B4-BE49-F238E27FC236}">
              <a16:creationId xmlns:a16="http://schemas.microsoft.com/office/drawing/2014/main" id="{FDFC4E40-C260-4AD4-94D4-5A7C6321DEA7}"/>
            </a:ext>
          </a:extLst>
        </xdr:cNvPr>
        <xdr:cNvPicPr>
          <a:picLocks noChangeAspect="1"/>
        </xdr:cNvPicPr>
      </xdr:nvPicPr>
      <xdr:blipFill>
        <a:blip xmlns:r="http://schemas.openxmlformats.org/officeDocument/2006/relationships" r:embed="rId14"/>
        <a:stretch>
          <a:fillRect/>
        </a:stretch>
      </xdr:blipFill>
      <xdr:spPr>
        <a:xfrm>
          <a:off x="54429" y="19379314"/>
          <a:ext cx="895895" cy="1042572"/>
        </a:xfrm>
        <a:prstGeom prst="rect">
          <a:avLst/>
        </a:prstGeom>
      </xdr:spPr>
    </xdr:pic>
    <xdr:clientData/>
  </xdr:twoCellAnchor>
  <xdr:twoCellAnchor editAs="oneCell">
    <xdr:from>
      <xdr:col>0</xdr:col>
      <xdr:colOff>43542</xdr:colOff>
      <xdr:row>85</xdr:row>
      <xdr:rowOff>54429</xdr:rowOff>
    </xdr:from>
    <xdr:to>
      <xdr:col>3</xdr:col>
      <xdr:colOff>473403</xdr:colOff>
      <xdr:row>85</xdr:row>
      <xdr:rowOff>489858</xdr:rowOff>
    </xdr:to>
    <xdr:pic>
      <xdr:nvPicPr>
        <xdr:cNvPr id="120" name="Afbeelding 119">
          <a:extLst>
            <a:ext uri="{FF2B5EF4-FFF2-40B4-BE49-F238E27FC236}">
              <a16:creationId xmlns:a16="http://schemas.microsoft.com/office/drawing/2014/main" id="{6B02E3BD-02E6-4F8E-AC71-B6314332A6B4}"/>
            </a:ext>
          </a:extLst>
        </xdr:cNvPr>
        <xdr:cNvPicPr>
          <a:picLocks noChangeAspect="1"/>
        </xdr:cNvPicPr>
      </xdr:nvPicPr>
      <xdr:blipFill>
        <a:blip xmlns:r="http://schemas.openxmlformats.org/officeDocument/2006/relationships" r:embed="rId15"/>
        <a:stretch>
          <a:fillRect/>
        </a:stretch>
      </xdr:blipFill>
      <xdr:spPr>
        <a:xfrm>
          <a:off x="43542" y="20910369"/>
          <a:ext cx="2327241" cy="435429"/>
        </a:xfrm>
        <a:prstGeom prst="rect">
          <a:avLst/>
        </a:prstGeom>
      </xdr:spPr>
    </xdr:pic>
    <xdr:clientData/>
  </xdr:twoCellAnchor>
  <xdr:twoCellAnchor editAs="oneCell">
    <xdr:from>
      <xdr:col>0</xdr:col>
      <xdr:colOff>0</xdr:colOff>
      <xdr:row>93</xdr:row>
      <xdr:rowOff>0</xdr:rowOff>
    </xdr:from>
    <xdr:to>
      <xdr:col>1</xdr:col>
      <xdr:colOff>108857</xdr:colOff>
      <xdr:row>93</xdr:row>
      <xdr:rowOff>1102896</xdr:rowOff>
    </xdr:to>
    <xdr:pic>
      <xdr:nvPicPr>
        <xdr:cNvPr id="121" name="Afbeelding 120">
          <a:extLst>
            <a:ext uri="{FF2B5EF4-FFF2-40B4-BE49-F238E27FC236}">
              <a16:creationId xmlns:a16="http://schemas.microsoft.com/office/drawing/2014/main" id="{1E0925BE-74E6-43F1-86D2-38AA7EEBE9CE}"/>
            </a:ext>
          </a:extLst>
        </xdr:cNvPr>
        <xdr:cNvPicPr>
          <a:picLocks noChangeAspect="1"/>
        </xdr:cNvPicPr>
      </xdr:nvPicPr>
      <xdr:blipFill>
        <a:blip xmlns:r="http://schemas.openxmlformats.org/officeDocument/2006/relationships" r:embed="rId16"/>
        <a:stretch>
          <a:fillRect/>
        </a:stretch>
      </xdr:blipFill>
      <xdr:spPr>
        <a:xfrm>
          <a:off x="0" y="22631400"/>
          <a:ext cx="787037" cy="1102896"/>
        </a:xfrm>
        <a:prstGeom prst="rect">
          <a:avLst/>
        </a:prstGeom>
      </xdr:spPr>
    </xdr:pic>
    <xdr:clientData/>
  </xdr:twoCellAnchor>
  <xdr:twoCellAnchor editAs="oneCell">
    <xdr:from>
      <xdr:col>0</xdr:col>
      <xdr:colOff>195944</xdr:colOff>
      <xdr:row>115</xdr:row>
      <xdr:rowOff>65314</xdr:rowOff>
    </xdr:from>
    <xdr:to>
      <xdr:col>2</xdr:col>
      <xdr:colOff>424544</xdr:colOff>
      <xdr:row>115</xdr:row>
      <xdr:rowOff>1245543</xdr:rowOff>
    </xdr:to>
    <xdr:pic>
      <xdr:nvPicPr>
        <xdr:cNvPr id="122" name="Afbeelding 121">
          <a:extLst>
            <a:ext uri="{FF2B5EF4-FFF2-40B4-BE49-F238E27FC236}">
              <a16:creationId xmlns:a16="http://schemas.microsoft.com/office/drawing/2014/main" id="{9C359022-D37A-4A23-9D88-DFE7F39FCF96}"/>
            </a:ext>
          </a:extLst>
        </xdr:cNvPr>
        <xdr:cNvPicPr>
          <a:picLocks noChangeAspect="1"/>
        </xdr:cNvPicPr>
      </xdr:nvPicPr>
      <xdr:blipFill>
        <a:blip xmlns:r="http://schemas.openxmlformats.org/officeDocument/2006/relationships" r:embed="rId17"/>
        <a:stretch>
          <a:fillRect/>
        </a:stretch>
      </xdr:blipFill>
      <xdr:spPr>
        <a:xfrm>
          <a:off x="195944" y="27497314"/>
          <a:ext cx="1516380" cy="1180229"/>
        </a:xfrm>
        <a:prstGeom prst="rect">
          <a:avLst/>
        </a:prstGeom>
      </xdr:spPr>
    </xdr:pic>
    <xdr:clientData/>
  </xdr:twoCellAnchor>
  <xdr:twoCellAnchor editAs="oneCell">
    <xdr:from>
      <xdr:col>0</xdr:col>
      <xdr:colOff>8518</xdr:colOff>
      <xdr:row>134</xdr:row>
      <xdr:rowOff>76675</xdr:rowOff>
    </xdr:from>
    <xdr:to>
      <xdr:col>4</xdr:col>
      <xdr:colOff>544493</xdr:colOff>
      <xdr:row>135</xdr:row>
      <xdr:rowOff>478972</xdr:rowOff>
    </xdr:to>
    <xdr:pic>
      <xdr:nvPicPr>
        <xdr:cNvPr id="123" name="Afbeelding 122">
          <a:extLst>
            <a:ext uri="{FF2B5EF4-FFF2-40B4-BE49-F238E27FC236}">
              <a16:creationId xmlns:a16="http://schemas.microsoft.com/office/drawing/2014/main" id="{1B37ED71-D179-4DB2-8258-067A4C221372}"/>
            </a:ext>
          </a:extLst>
        </xdr:cNvPr>
        <xdr:cNvPicPr>
          <a:picLocks noChangeAspect="1"/>
        </xdr:cNvPicPr>
      </xdr:nvPicPr>
      <xdr:blipFill>
        <a:blip xmlns:r="http://schemas.openxmlformats.org/officeDocument/2006/relationships" r:embed="rId18"/>
        <a:stretch>
          <a:fillRect/>
        </a:stretch>
      </xdr:blipFill>
      <xdr:spPr>
        <a:xfrm>
          <a:off x="8518" y="32095915"/>
          <a:ext cx="3042955" cy="585177"/>
        </a:xfrm>
        <a:prstGeom prst="rect">
          <a:avLst/>
        </a:prstGeom>
      </xdr:spPr>
    </xdr:pic>
    <xdr:clientData/>
  </xdr:twoCellAnchor>
  <xdr:twoCellAnchor editAs="oneCell">
    <xdr:from>
      <xdr:col>0</xdr:col>
      <xdr:colOff>163286</xdr:colOff>
      <xdr:row>59</xdr:row>
      <xdr:rowOff>43543</xdr:rowOff>
    </xdr:from>
    <xdr:to>
      <xdr:col>2</xdr:col>
      <xdr:colOff>146564</xdr:colOff>
      <xdr:row>61</xdr:row>
      <xdr:rowOff>1</xdr:rowOff>
    </xdr:to>
    <xdr:pic>
      <xdr:nvPicPr>
        <xdr:cNvPr id="124" name="Afbeelding 123">
          <a:hlinkClick xmlns:r="http://schemas.openxmlformats.org/officeDocument/2006/relationships" r:id="rId19"/>
          <a:extLst>
            <a:ext uri="{FF2B5EF4-FFF2-40B4-BE49-F238E27FC236}">
              <a16:creationId xmlns:a16="http://schemas.microsoft.com/office/drawing/2014/main" id="{FED52F11-5411-4C62-8AD8-16E7470141F0}"/>
            </a:ext>
          </a:extLst>
        </xdr:cNvPr>
        <xdr:cNvPicPr>
          <a:picLocks noChangeAspect="1"/>
        </xdr:cNvPicPr>
      </xdr:nvPicPr>
      <xdr:blipFill>
        <a:blip xmlns:r="http://schemas.openxmlformats.org/officeDocument/2006/relationships" r:embed="rId20"/>
        <a:stretch>
          <a:fillRect/>
        </a:stretch>
      </xdr:blipFill>
      <xdr:spPr>
        <a:xfrm>
          <a:off x="163286" y="13988143"/>
          <a:ext cx="1271058" cy="855618"/>
        </a:xfrm>
        <a:prstGeom prst="rect">
          <a:avLst/>
        </a:prstGeom>
      </xdr:spPr>
    </xdr:pic>
    <xdr:clientData/>
  </xdr:twoCellAnchor>
  <xdr:twoCellAnchor editAs="oneCell">
    <xdr:from>
      <xdr:col>0</xdr:col>
      <xdr:colOff>163286</xdr:colOff>
      <xdr:row>142</xdr:row>
      <xdr:rowOff>65313</xdr:rowOff>
    </xdr:from>
    <xdr:to>
      <xdr:col>1</xdr:col>
      <xdr:colOff>531210</xdr:colOff>
      <xdr:row>142</xdr:row>
      <xdr:rowOff>1186542</xdr:rowOff>
    </xdr:to>
    <xdr:pic>
      <xdr:nvPicPr>
        <xdr:cNvPr id="125" name="Afbeelding 124">
          <a:extLst>
            <a:ext uri="{FF2B5EF4-FFF2-40B4-BE49-F238E27FC236}">
              <a16:creationId xmlns:a16="http://schemas.microsoft.com/office/drawing/2014/main" id="{8C871942-2A80-428B-9639-F0EFE5B78511}"/>
            </a:ext>
          </a:extLst>
        </xdr:cNvPr>
        <xdr:cNvPicPr>
          <a:picLocks noChangeAspect="1"/>
        </xdr:cNvPicPr>
      </xdr:nvPicPr>
      <xdr:blipFill>
        <a:blip xmlns:r="http://schemas.openxmlformats.org/officeDocument/2006/relationships" r:embed="rId21"/>
        <a:stretch>
          <a:fillRect/>
        </a:stretch>
      </xdr:blipFill>
      <xdr:spPr>
        <a:xfrm>
          <a:off x="163286" y="34004793"/>
          <a:ext cx="1046104" cy="1121229"/>
        </a:xfrm>
        <a:prstGeom prst="rect">
          <a:avLst/>
        </a:prstGeom>
      </xdr:spPr>
    </xdr:pic>
    <xdr:clientData/>
  </xdr:twoCellAnchor>
  <xdr:twoCellAnchor editAs="oneCell">
    <xdr:from>
      <xdr:col>0</xdr:col>
      <xdr:colOff>119742</xdr:colOff>
      <xdr:row>148</xdr:row>
      <xdr:rowOff>97972</xdr:rowOff>
    </xdr:from>
    <xdr:to>
      <xdr:col>4</xdr:col>
      <xdr:colOff>326571</xdr:colOff>
      <xdr:row>148</xdr:row>
      <xdr:rowOff>808847</xdr:rowOff>
    </xdr:to>
    <xdr:pic>
      <xdr:nvPicPr>
        <xdr:cNvPr id="126" name="Afbeelding 125">
          <a:extLst>
            <a:ext uri="{FF2B5EF4-FFF2-40B4-BE49-F238E27FC236}">
              <a16:creationId xmlns:a16="http://schemas.microsoft.com/office/drawing/2014/main" id="{B908E741-C958-4EE0-B42B-8DF4E0AFCBE3}"/>
            </a:ext>
          </a:extLst>
        </xdr:cNvPr>
        <xdr:cNvPicPr>
          <a:picLocks noChangeAspect="1"/>
        </xdr:cNvPicPr>
      </xdr:nvPicPr>
      <xdr:blipFill>
        <a:blip xmlns:r="http://schemas.openxmlformats.org/officeDocument/2006/relationships" r:embed="rId22"/>
        <a:stretch>
          <a:fillRect/>
        </a:stretch>
      </xdr:blipFill>
      <xdr:spPr>
        <a:xfrm>
          <a:off x="119742" y="36193912"/>
          <a:ext cx="2713809" cy="710875"/>
        </a:xfrm>
        <a:prstGeom prst="rect">
          <a:avLst/>
        </a:prstGeom>
      </xdr:spPr>
    </xdr:pic>
    <xdr:clientData/>
  </xdr:twoCellAnchor>
  <xdr:twoCellAnchor editAs="oneCell">
    <xdr:from>
      <xdr:col>0</xdr:col>
      <xdr:colOff>411480</xdr:colOff>
      <xdr:row>11</xdr:row>
      <xdr:rowOff>259080</xdr:rowOff>
    </xdr:from>
    <xdr:to>
      <xdr:col>2</xdr:col>
      <xdr:colOff>394758</xdr:colOff>
      <xdr:row>11</xdr:row>
      <xdr:rowOff>1114697</xdr:rowOff>
    </xdr:to>
    <xdr:pic>
      <xdr:nvPicPr>
        <xdr:cNvPr id="127" name="Afbeelding 126">
          <a:hlinkClick xmlns:r="http://schemas.openxmlformats.org/officeDocument/2006/relationships" r:id="rId19"/>
          <a:extLst>
            <a:ext uri="{FF2B5EF4-FFF2-40B4-BE49-F238E27FC236}">
              <a16:creationId xmlns:a16="http://schemas.microsoft.com/office/drawing/2014/main" id="{B3408226-FECC-4AC1-A2D9-D1B8C15702C2}"/>
            </a:ext>
          </a:extLst>
        </xdr:cNvPr>
        <xdr:cNvPicPr>
          <a:picLocks noChangeAspect="1"/>
        </xdr:cNvPicPr>
      </xdr:nvPicPr>
      <xdr:blipFill>
        <a:blip xmlns:r="http://schemas.openxmlformats.org/officeDocument/2006/relationships" r:embed="rId20"/>
        <a:stretch>
          <a:fillRect/>
        </a:stretch>
      </xdr:blipFill>
      <xdr:spPr>
        <a:xfrm>
          <a:off x="411480" y="2621280"/>
          <a:ext cx="1271058" cy="855617"/>
        </a:xfrm>
        <a:prstGeom prst="rect">
          <a:avLst/>
        </a:prstGeom>
      </xdr:spPr>
    </xdr:pic>
    <xdr:clientData/>
  </xdr:twoCellAnchor>
  <xdr:twoCellAnchor editAs="oneCell">
    <xdr:from>
      <xdr:col>0</xdr:col>
      <xdr:colOff>627489</xdr:colOff>
      <xdr:row>11</xdr:row>
      <xdr:rowOff>1559450</xdr:rowOff>
    </xdr:from>
    <xdr:to>
      <xdr:col>2</xdr:col>
      <xdr:colOff>237923</xdr:colOff>
      <xdr:row>11</xdr:row>
      <xdr:rowOff>2602022</xdr:rowOff>
    </xdr:to>
    <xdr:pic>
      <xdr:nvPicPr>
        <xdr:cNvPr id="128" name="Afbeelding 127">
          <a:extLst>
            <a:ext uri="{FF2B5EF4-FFF2-40B4-BE49-F238E27FC236}">
              <a16:creationId xmlns:a16="http://schemas.microsoft.com/office/drawing/2014/main" id="{C87F8B6C-C7D0-4A42-9ACA-A567F27E18FF}"/>
            </a:ext>
          </a:extLst>
        </xdr:cNvPr>
        <xdr:cNvPicPr>
          <a:picLocks noChangeAspect="1"/>
        </xdr:cNvPicPr>
      </xdr:nvPicPr>
      <xdr:blipFill>
        <a:blip xmlns:r="http://schemas.openxmlformats.org/officeDocument/2006/relationships" r:embed="rId14"/>
        <a:stretch>
          <a:fillRect/>
        </a:stretch>
      </xdr:blipFill>
      <xdr:spPr>
        <a:xfrm>
          <a:off x="627489" y="3921650"/>
          <a:ext cx="898214" cy="1042572"/>
        </a:xfrm>
        <a:prstGeom prst="rect">
          <a:avLst/>
        </a:prstGeom>
      </xdr:spPr>
    </xdr:pic>
    <xdr:clientData/>
  </xdr:twoCellAnchor>
  <xdr:twoCellAnchor editAs="oneCell">
    <xdr:from>
      <xdr:col>1</xdr:col>
      <xdr:colOff>343894</xdr:colOff>
      <xdr:row>11</xdr:row>
      <xdr:rowOff>1850666</xdr:rowOff>
    </xdr:from>
    <xdr:to>
      <xdr:col>3</xdr:col>
      <xdr:colOff>557254</xdr:colOff>
      <xdr:row>11</xdr:row>
      <xdr:rowOff>2118699</xdr:rowOff>
    </xdr:to>
    <xdr:pic>
      <xdr:nvPicPr>
        <xdr:cNvPr id="129" name="Afbeelding 128">
          <a:extLst>
            <a:ext uri="{FF2B5EF4-FFF2-40B4-BE49-F238E27FC236}">
              <a16:creationId xmlns:a16="http://schemas.microsoft.com/office/drawing/2014/main" id="{2790312F-6E6C-482B-9A83-8F4DD4C4444A}"/>
            </a:ext>
          </a:extLst>
        </xdr:cNvPr>
        <xdr:cNvPicPr>
          <a:picLocks noChangeAspect="1"/>
        </xdr:cNvPicPr>
      </xdr:nvPicPr>
      <xdr:blipFill>
        <a:blip xmlns:r="http://schemas.openxmlformats.org/officeDocument/2006/relationships" r:embed="rId15"/>
        <a:stretch>
          <a:fillRect/>
        </a:stretch>
      </xdr:blipFill>
      <xdr:spPr>
        <a:xfrm>
          <a:off x="1022074" y="4212866"/>
          <a:ext cx="1432560" cy="268033"/>
        </a:xfrm>
        <a:prstGeom prst="rect">
          <a:avLst/>
        </a:prstGeom>
      </xdr:spPr>
    </xdr:pic>
    <xdr:clientData/>
  </xdr:twoCellAnchor>
  <xdr:twoCellAnchor editAs="oneCell">
    <xdr:from>
      <xdr:col>5</xdr:col>
      <xdr:colOff>563877</xdr:colOff>
      <xdr:row>11</xdr:row>
      <xdr:rowOff>226612</xdr:rowOff>
    </xdr:from>
    <xdr:to>
      <xdr:col>7</xdr:col>
      <xdr:colOff>131714</xdr:colOff>
      <xdr:row>11</xdr:row>
      <xdr:rowOff>1329508</xdr:rowOff>
    </xdr:to>
    <xdr:pic>
      <xdr:nvPicPr>
        <xdr:cNvPr id="130" name="Afbeelding 129">
          <a:extLst>
            <a:ext uri="{FF2B5EF4-FFF2-40B4-BE49-F238E27FC236}">
              <a16:creationId xmlns:a16="http://schemas.microsoft.com/office/drawing/2014/main" id="{E2F9DC87-2A0A-4F04-8671-2BFED05DB2EA}"/>
            </a:ext>
          </a:extLst>
        </xdr:cNvPr>
        <xdr:cNvPicPr>
          <a:picLocks noChangeAspect="1"/>
        </xdr:cNvPicPr>
      </xdr:nvPicPr>
      <xdr:blipFill>
        <a:blip xmlns:r="http://schemas.openxmlformats.org/officeDocument/2006/relationships" r:embed="rId16"/>
        <a:stretch>
          <a:fillRect/>
        </a:stretch>
      </xdr:blipFill>
      <xdr:spPr>
        <a:xfrm>
          <a:off x="3680457" y="2588812"/>
          <a:ext cx="787037" cy="1102896"/>
        </a:xfrm>
        <a:prstGeom prst="rect">
          <a:avLst/>
        </a:prstGeom>
      </xdr:spPr>
    </xdr:pic>
    <xdr:clientData/>
  </xdr:twoCellAnchor>
  <xdr:twoCellAnchor editAs="oneCell">
    <xdr:from>
      <xdr:col>9</xdr:col>
      <xdr:colOff>318711</xdr:colOff>
      <xdr:row>11</xdr:row>
      <xdr:rowOff>75539</xdr:rowOff>
    </xdr:from>
    <xdr:to>
      <xdr:col>11</xdr:col>
      <xdr:colOff>352672</xdr:colOff>
      <xdr:row>11</xdr:row>
      <xdr:rowOff>1050899</xdr:rowOff>
    </xdr:to>
    <xdr:pic>
      <xdr:nvPicPr>
        <xdr:cNvPr id="131" name="Afbeelding 130">
          <a:extLst>
            <a:ext uri="{FF2B5EF4-FFF2-40B4-BE49-F238E27FC236}">
              <a16:creationId xmlns:a16="http://schemas.microsoft.com/office/drawing/2014/main" id="{872D8C23-AD0D-4001-B567-CD567175EA4C}"/>
            </a:ext>
          </a:extLst>
        </xdr:cNvPr>
        <xdr:cNvPicPr>
          <a:picLocks noChangeAspect="1"/>
        </xdr:cNvPicPr>
      </xdr:nvPicPr>
      <xdr:blipFill>
        <a:blip xmlns:r="http://schemas.openxmlformats.org/officeDocument/2006/relationships" r:embed="rId17"/>
        <a:stretch>
          <a:fillRect/>
        </a:stretch>
      </xdr:blipFill>
      <xdr:spPr>
        <a:xfrm>
          <a:off x="5873691" y="2437739"/>
          <a:ext cx="1253161" cy="975360"/>
        </a:xfrm>
        <a:prstGeom prst="rect">
          <a:avLst/>
        </a:prstGeom>
      </xdr:spPr>
    </xdr:pic>
    <xdr:clientData/>
  </xdr:twoCellAnchor>
  <xdr:twoCellAnchor editAs="oneCell">
    <xdr:from>
      <xdr:col>5</xdr:col>
      <xdr:colOff>317719</xdr:colOff>
      <xdr:row>11</xdr:row>
      <xdr:rowOff>1745310</xdr:rowOff>
    </xdr:from>
    <xdr:to>
      <xdr:col>8</xdr:col>
      <xdr:colOff>310099</xdr:colOff>
      <xdr:row>11</xdr:row>
      <xdr:rowOff>2097120</xdr:rowOff>
    </xdr:to>
    <xdr:pic>
      <xdr:nvPicPr>
        <xdr:cNvPr id="132" name="Afbeelding 131">
          <a:extLst>
            <a:ext uri="{FF2B5EF4-FFF2-40B4-BE49-F238E27FC236}">
              <a16:creationId xmlns:a16="http://schemas.microsoft.com/office/drawing/2014/main" id="{5D1E9E71-8085-4271-96C5-A6B6A5FD7D64}"/>
            </a:ext>
          </a:extLst>
        </xdr:cNvPr>
        <xdr:cNvPicPr>
          <a:picLocks noChangeAspect="1"/>
        </xdr:cNvPicPr>
      </xdr:nvPicPr>
      <xdr:blipFill>
        <a:blip xmlns:r="http://schemas.openxmlformats.org/officeDocument/2006/relationships" r:embed="rId18"/>
        <a:stretch>
          <a:fillRect/>
        </a:stretch>
      </xdr:blipFill>
      <xdr:spPr>
        <a:xfrm>
          <a:off x="3434299" y="4107510"/>
          <a:ext cx="1821180" cy="351810"/>
        </a:xfrm>
        <a:prstGeom prst="rect">
          <a:avLst/>
        </a:prstGeom>
      </xdr:spPr>
    </xdr:pic>
    <xdr:clientData/>
  </xdr:twoCellAnchor>
  <xdr:twoCellAnchor editAs="oneCell">
    <xdr:from>
      <xdr:col>12</xdr:col>
      <xdr:colOff>86474</xdr:colOff>
      <xdr:row>11</xdr:row>
      <xdr:rowOff>340583</xdr:rowOff>
    </xdr:from>
    <xdr:to>
      <xdr:col>15</xdr:col>
      <xdr:colOff>551294</xdr:colOff>
      <xdr:row>11</xdr:row>
      <xdr:rowOff>941391</xdr:rowOff>
    </xdr:to>
    <xdr:pic>
      <xdr:nvPicPr>
        <xdr:cNvPr id="133" name="Afbeelding 132">
          <a:extLst>
            <a:ext uri="{FF2B5EF4-FFF2-40B4-BE49-F238E27FC236}">
              <a16:creationId xmlns:a16="http://schemas.microsoft.com/office/drawing/2014/main" id="{1B77F92E-B302-47FE-9F45-5FA2EBCEA707}"/>
            </a:ext>
          </a:extLst>
        </xdr:cNvPr>
        <xdr:cNvPicPr>
          <a:picLocks noChangeAspect="1"/>
        </xdr:cNvPicPr>
      </xdr:nvPicPr>
      <xdr:blipFill>
        <a:blip xmlns:r="http://schemas.openxmlformats.org/officeDocument/2006/relationships" r:embed="rId22"/>
        <a:stretch>
          <a:fillRect/>
        </a:stretch>
      </xdr:blipFill>
      <xdr:spPr>
        <a:xfrm>
          <a:off x="7470254" y="2702783"/>
          <a:ext cx="2293620" cy="600808"/>
        </a:xfrm>
        <a:prstGeom prst="rect">
          <a:avLst/>
        </a:prstGeom>
      </xdr:spPr>
    </xdr:pic>
    <xdr:clientData/>
  </xdr:twoCellAnchor>
  <xdr:twoCellAnchor editAs="oneCell">
    <xdr:from>
      <xdr:col>9</xdr:col>
      <xdr:colOff>503912</xdr:colOff>
      <xdr:row>11</xdr:row>
      <xdr:rowOff>1387833</xdr:rowOff>
    </xdr:from>
    <xdr:to>
      <xdr:col>11</xdr:col>
      <xdr:colOff>330816</xdr:colOff>
      <xdr:row>11</xdr:row>
      <xdr:rowOff>2509062</xdr:rowOff>
    </xdr:to>
    <xdr:pic>
      <xdr:nvPicPr>
        <xdr:cNvPr id="134" name="Afbeelding 133">
          <a:extLst>
            <a:ext uri="{FF2B5EF4-FFF2-40B4-BE49-F238E27FC236}">
              <a16:creationId xmlns:a16="http://schemas.microsoft.com/office/drawing/2014/main" id="{1F470883-C90C-4594-B5DB-5E857115E259}"/>
            </a:ext>
          </a:extLst>
        </xdr:cNvPr>
        <xdr:cNvPicPr>
          <a:picLocks noChangeAspect="1"/>
        </xdr:cNvPicPr>
      </xdr:nvPicPr>
      <xdr:blipFill>
        <a:blip xmlns:r="http://schemas.openxmlformats.org/officeDocument/2006/relationships" r:embed="rId21"/>
        <a:stretch>
          <a:fillRect/>
        </a:stretch>
      </xdr:blipFill>
      <xdr:spPr>
        <a:xfrm>
          <a:off x="6058892" y="3750033"/>
          <a:ext cx="1046104" cy="1121229"/>
        </a:xfrm>
        <a:prstGeom prst="rect">
          <a:avLst/>
        </a:prstGeom>
      </xdr:spPr>
    </xdr:pic>
    <xdr:clientData/>
  </xdr:twoCellAnchor>
  <xdr:twoCellAnchor editAs="oneCell">
    <xdr:from>
      <xdr:col>12</xdr:col>
      <xdr:colOff>196275</xdr:colOff>
      <xdr:row>11</xdr:row>
      <xdr:rowOff>1517184</xdr:rowOff>
    </xdr:from>
    <xdr:to>
      <xdr:col>14</xdr:col>
      <xdr:colOff>300542</xdr:colOff>
      <xdr:row>11</xdr:row>
      <xdr:rowOff>2257759</xdr:rowOff>
    </xdr:to>
    <xdr:pic>
      <xdr:nvPicPr>
        <xdr:cNvPr id="135" name="Afbeelding 134">
          <a:extLst>
            <a:ext uri="{FF2B5EF4-FFF2-40B4-BE49-F238E27FC236}">
              <a16:creationId xmlns:a16="http://schemas.microsoft.com/office/drawing/2014/main" id="{9FD221B2-F756-4E38-9499-66ACC03F3B9D}"/>
            </a:ext>
          </a:extLst>
        </xdr:cNvPr>
        <xdr:cNvPicPr>
          <a:picLocks noChangeAspect="1"/>
        </xdr:cNvPicPr>
      </xdr:nvPicPr>
      <xdr:blipFill>
        <a:blip xmlns:r="http://schemas.openxmlformats.org/officeDocument/2006/relationships" r:embed="rId13"/>
        <a:stretch>
          <a:fillRect/>
        </a:stretch>
      </xdr:blipFill>
      <xdr:spPr>
        <a:xfrm>
          <a:off x="7580055" y="3879384"/>
          <a:ext cx="1323467" cy="740575"/>
        </a:xfrm>
        <a:prstGeom prst="rect">
          <a:avLst/>
        </a:prstGeom>
      </xdr:spPr>
    </xdr:pic>
    <xdr:clientData/>
  </xdr:twoCellAnchor>
  <xdr:twoCellAnchor editAs="oneCell">
    <xdr:from>
      <xdr:col>6</xdr:col>
      <xdr:colOff>546848</xdr:colOff>
      <xdr:row>263</xdr:row>
      <xdr:rowOff>53673</xdr:rowOff>
    </xdr:from>
    <xdr:to>
      <xdr:col>9</xdr:col>
      <xdr:colOff>188259</xdr:colOff>
      <xdr:row>269</xdr:row>
      <xdr:rowOff>146700</xdr:rowOff>
    </xdr:to>
    <xdr:pic>
      <xdr:nvPicPr>
        <xdr:cNvPr id="136" name="Afbeelding 135">
          <a:extLst>
            <a:ext uri="{FF2B5EF4-FFF2-40B4-BE49-F238E27FC236}">
              <a16:creationId xmlns:a16="http://schemas.microsoft.com/office/drawing/2014/main" id="{4CCFFADE-718C-4D1D-94D2-CC8A7ABB5EDA}"/>
            </a:ext>
          </a:extLst>
        </xdr:cNvPr>
        <xdr:cNvPicPr>
          <a:picLocks noChangeAspect="1"/>
        </xdr:cNvPicPr>
      </xdr:nvPicPr>
      <xdr:blipFill>
        <a:blip xmlns:r="http://schemas.openxmlformats.org/officeDocument/2006/relationships" r:embed="rId23"/>
        <a:stretch>
          <a:fillRect/>
        </a:stretch>
      </xdr:blipFill>
      <xdr:spPr>
        <a:xfrm>
          <a:off x="4273028" y="58087593"/>
          <a:ext cx="1470211" cy="1190307"/>
        </a:xfrm>
        <a:prstGeom prst="rect">
          <a:avLst/>
        </a:prstGeom>
      </xdr:spPr>
    </xdr:pic>
    <xdr:clientData/>
  </xdr:twoCellAnchor>
  <xdr:twoCellAnchor editAs="oneCell">
    <xdr:from>
      <xdr:col>1</xdr:col>
      <xdr:colOff>152401</xdr:colOff>
      <xdr:row>11</xdr:row>
      <xdr:rowOff>79513</xdr:rowOff>
    </xdr:from>
    <xdr:to>
      <xdr:col>2</xdr:col>
      <xdr:colOff>457201</xdr:colOff>
      <xdr:row>11</xdr:row>
      <xdr:rowOff>993913</xdr:rowOff>
    </xdr:to>
    <xdr:pic>
      <xdr:nvPicPr>
        <xdr:cNvPr id="138" name="Graphic 137" descr="Badge: 1 silhouet">
          <a:hlinkClick xmlns:r="http://schemas.openxmlformats.org/officeDocument/2006/relationships" r:id="rId24"/>
          <a:extLst>
            <a:ext uri="{FF2B5EF4-FFF2-40B4-BE49-F238E27FC236}">
              <a16:creationId xmlns:a16="http://schemas.microsoft.com/office/drawing/2014/main" id="{B2C16563-980E-4F16-8CC4-1DB4D35A85CC}"/>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830581" y="2441713"/>
          <a:ext cx="914400" cy="914400"/>
        </a:xfrm>
        <a:prstGeom prst="rect">
          <a:avLst/>
        </a:prstGeom>
      </xdr:spPr>
    </xdr:pic>
    <xdr:clientData/>
  </xdr:twoCellAnchor>
  <xdr:twoCellAnchor editAs="oneCell">
    <xdr:from>
      <xdr:col>2</xdr:col>
      <xdr:colOff>503583</xdr:colOff>
      <xdr:row>11</xdr:row>
      <xdr:rowOff>1417983</xdr:rowOff>
    </xdr:from>
    <xdr:to>
      <xdr:col>4</xdr:col>
      <xdr:colOff>198783</xdr:colOff>
      <xdr:row>11</xdr:row>
      <xdr:rowOff>2332383</xdr:rowOff>
    </xdr:to>
    <xdr:pic>
      <xdr:nvPicPr>
        <xdr:cNvPr id="139" name="Graphic 138" descr="Badge 3 silhouet">
          <a:hlinkClick xmlns:r="http://schemas.openxmlformats.org/officeDocument/2006/relationships" r:id="rId27"/>
          <a:extLst>
            <a:ext uri="{FF2B5EF4-FFF2-40B4-BE49-F238E27FC236}">
              <a16:creationId xmlns:a16="http://schemas.microsoft.com/office/drawing/2014/main" id="{4831F0C1-49C7-4D27-A2C8-AB4080B81D24}"/>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791363" y="3780183"/>
          <a:ext cx="914400" cy="914400"/>
        </a:xfrm>
        <a:prstGeom prst="rect">
          <a:avLst/>
        </a:prstGeom>
      </xdr:spPr>
    </xdr:pic>
    <xdr:clientData/>
  </xdr:twoCellAnchor>
  <xdr:twoCellAnchor editAs="oneCell">
    <xdr:from>
      <xdr:col>9</xdr:col>
      <xdr:colOff>547563</xdr:colOff>
      <xdr:row>11</xdr:row>
      <xdr:rowOff>1408955</xdr:rowOff>
    </xdr:from>
    <xdr:to>
      <xdr:col>11</xdr:col>
      <xdr:colOff>242763</xdr:colOff>
      <xdr:row>11</xdr:row>
      <xdr:rowOff>2323355</xdr:rowOff>
    </xdr:to>
    <xdr:pic>
      <xdr:nvPicPr>
        <xdr:cNvPr id="140" name="Graphic 139" descr="Badge 7 silhouet">
          <a:hlinkClick xmlns:r="http://schemas.openxmlformats.org/officeDocument/2006/relationships" r:id="rId30"/>
          <a:extLst>
            <a:ext uri="{FF2B5EF4-FFF2-40B4-BE49-F238E27FC236}">
              <a16:creationId xmlns:a16="http://schemas.microsoft.com/office/drawing/2014/main" id="{3C8BB4C8-3779-404C-A9E6-8072F2E59B09}"/>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6102543" y="3771155"/>
          <a:ext cx="914400" cy="914400"/>
        </a:xfrm>
        <a:prstGeom prst="rect">
          <a:avLst/>
        </a:prstGeom>
      </xdr:spPr>
    </xdr:pic>
    <xdr:clientData/>
  </xdr:twoCellAnchor>
  <xdr:twoCellAnchor editAs="oneCell">
    <xdr:from>
      <xdr:col>0</xdr:col>
      <xdr:colOff>575895</xdr:colOff>
      <xdr:row>11</xdr:row>
      <xdr:rowOff>1430661</xdr:rowOff>
    </xdr:from>
    <xdr:to>
      <xdr:col>2</xdr:col>
      <xdr:colOff>204834</xdr:colOff>
      <xdr:row>11</xdr:row>
      <xdr:rowOff>2345061</xdr:rowOff>
    </xdr:to>
    <xdr:pic>
      <xdr:nvPicPr>
        <xdr:cNvPr id="141" name="Graphic 140" descr="Badge silhouet">
          <a:hlinkClick xmlns:r="http://schemas.openxmlformats.org/officeDocument/2006/relationships" r:id="rId33"/>
          <a:extLst>
            <a:ext uri="{FF2B5EF4-FFF2-40B4-BE49-F238E27FC236}">
              <a16:creationId xmlns:a16="http://schemas.microsoft.com/office/drawing/2014/main" id="{423BF862-8D47-461F-9056-7767CC03EA67}"/>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575895" y="3792861"/>
          <a:ext cx="916719" cy="914400"/>
        </a:xfrm>
        <a:prstGeom prst="rect">
          <a:avLst/>
        </a:prstGeom>
      </xdr:spPr>
    </xdr:pic>
    <xdr:clientData/>
  </xdr:twoCellAnchor>
  <xdr:twoCellAnchor editAs="oneCell">
    <xdr:from>
      <xdr:col>12</xdr:col>
      <xdr:colOff>193910</xdr:colOff>
      <xdr:row>11</xdr:row>
      <xdr:rowOff>215687</xdr:rowOff>
    </xdr:from>
    <xdr:to>
      <xdr:col>13</xdr:col>
      <xdr:colOff>498710</xdr:colOff>
      <xdr:row>11</xdr:row>
      <xdr:rowOff>1130087</xdr:rowOff>
    </xdr:to>
    <xdr:pic>
      <xdr:nvPicPr>
        <xdr:cNvPr id="142" name="Graphic 141" descr="Badge 8 silhouet">
          <a:hlinkClick xmlns:r="http://schemas.openxmlformats.org/officeDocument/2006/relationships" r:id="rId36"/>
          <a:extLst>
            <a:ext uri="{FF2B5EF4-FFF2-40B4-BE49-F238E27FC236}">
              <a16:creationId xmlns:a16="http://schemas.microsoft.com/office/drawing/2014/main" id="{9AA16C89-5D89-4EE2-A0F5-2C8F3DF7FF24}"/>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a:off x="7577690" y="2577887"/>
          <a:ext cx="914400" cy="914400"/>
        </a:xfrm>
        <a:prstGeom prst="rect">
          <a:avLst/>
        </a:prstGeom>
      </xdr:spPr>
    </xdr:pic>
    <xdr:clientData/>
  </xdr:twoCellAnchor>
  <xdr:twoCellAnchor editAs="oneCell">
    <xdr:from>
      <xdr:col>6</xdr:col>
      <xdr:colOff>87389</xdr:colOff>
      <xdr:row>11</xdr:row>
      <xdr:rowOff>1419233</xdr:rowOff>
    </xdr:from>
    <xdr:to>
      <xdr:col>7</xdr:col>
      <xdr:colOff>392189</xdr:colOff>
      <xdr:row>11</xdr:row>
      <xdr:rowOff>2333633</xdr:rowOff>
    </xdr:to>
    <xdr:pic>
      <xdr:nvPicPr>
        <xdr:cNvPr id="143" name="Graphic 142" descr="Badge 5 silhouet">
          <a:hlinkClick xmlns:r="http://schemas.openxmlformats.org/officeDocument/2006/relationships" r:id="rId39"/>
          <a:extLst>
            <a:ext uri="{FF2B5EF4-FFF2-40B4-BE49-F238E27FC236}">
              <a16:creationId xmlns:a16="http://schemas.microsoft.com/office/drawing/2014/main" id="{1A57CA81-DF67-4784-B461-D1FD0554529E}"/>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3813569" y="3781433"/>
          <a:ext cx="914400" cy="914400"/>
        </a:xfrm>
        <a:prstGeom prst="rect">
          <a:avLst/>
        </a:prstGeom>
      </xdr:spPr>
    </xdr:pic>
    <xdr:clientData/>
  </xdr:twoCellAnchor>
  <xdr:twoCellAnchor editAs="oneCell">
    <xdr:from>
      <xdr:col>9</xdr:col>
      <xdr:colOff>555440</xdr:colOff>
      <xdr:row>11</xdr:row>
      <xdr:rowOff>104870</xdr:rowOff>
    </xdr:from>
    <xdr:to>
      <xdr:col>11</xdr:col>
      <xdr:colOff>250640</xdr:colOff>
      <xdr:row>11</xdr:row>
      <xdr:rowOff>1019270</xdr:rowOff>
    </xdr:to>
    <xdr:pic>
      <xdr:nvPicPr>
        <xdr:cNvPr id="144" name="Graphic 143" descr="Badge: 6 silhouet">
          <a:hlinkClick xmlns:r="http://schemas.openxmlformats.org/officeDocument/2006/relationships" r:id="rId42"/>
          <a:extLst>
            <a:ext uri="{FF2B5EF4-FFF2-40B4-BE49-F238E27FC236}">
              <a16:creationId xmlns:a16="http://schemas.microsoft.com/office/drawing/2014/main" id="{CF8F870A-0B04-42A2-A2EB-025D45266128}"/>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a:off x="6110420" y="2467070"/>
          <a:ext cx="914400" cy="914400"/>
        </a:xfrm>
        <a:prstGeom prst="rect">
          <a:avLst/>
        </a:prstGeom>
      </xdr:spPr>
    </xdr:pic>
    <xdr:clientData/>
  </xdr:twoCellAnchor>
  <xdr:twoCellAnchor editAs="oneCell">
    <xdr:from>
      <xdr:col>6</xdr:col>
      <xdr:colOff>106690</xdr:colOff>
      <xdr:row>11</xdr:row>
      <xdr:rowOff>93443</xdr:rowOff>
    </xdr:from>
    <xdr:to>
      <xdr:col>7</xdr:col>
      <xdr:colOff>411490</xdr:colOff>
      <xdr:row>11</xdr:row>
      <xdr:rowOff>1007843</xdr:rowOff>
    </xdr:to>
    <xdr:pic>
      <xdr:nvPicPr>
        <xdr:cNvPr id="145" name="Graphic 144" descr="Badge 4 silhouet">
          <a:hlinkClick xmlns:r="http://schemas.openxmlformats.org/officeDocument/2006/relationships" r:id="rId45"/>
          <a:extLst>
            <a:ext uri="{FF2B5EF4-FFF2-40B4-BE49-F238E27FC236}">
              <a16:creationId xmlns:a16="http://schemas.microsoft.com/office/drawing/2014/main" id="{B451E926-6E92-4E2D-A8D8-DD2DCCF1219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3832870" y="2455643"/>
          <a:ext cx="914400" cy="914400"/>
        </a:xfrm>
        <a:prstGeom prst="rect">
          <a:avLst/>
        </a:prstGeom>
      </xdr:spPr>
    </xdr:pic>
    <xdr:clientData/>
  </xdr:twoCellAnchor>
  <xdr:twoCellAnchor editAs="oneCell">
    <xdr:from>
      <xdr:col>12</xdr:col>
      <xdr:colOff>446490</xdr:colOff>
      <xdr:row>11</xdr:row>
      <xdr:rowOff>1431878</xdr:rowOff>
    </xdr:from>
    <xdr:to>
      <xdr:col>14</xdr:col>
      <xdr:colOff>141690</xdr:colOff>
      <xdr:row>11</xdr:row>
      <xdr:rowOff>2346278</xdr:rowOff>
    </xdr:to>
    <xdr:pic>
      <xdr:nvPicPr>
        <xdr:cNvPr id="146" name="Graphic 145" descr="Badge: 9 silhouet">
          <a:hlinkClick xmlns:r="http://schemas.openxmlformats.org/officeDocument/2006/relationships" r:id="rId48"/>
          <a:extLst>
            <a:ext uri="{FF2B5EF4-FFF2-40B4-BE49-F238E27FC236}">
              <a16:creationId xmlns:a16="http://schemas.microsoft.com/office/drawing/2014/main" id="{5F1B2264-287C-4034-9774-73FA1D49E7BF}"/>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7830270" y="3794078"/>
          <a:ext cx="914400" cy="914400"/>
        </a:xfrm>
        <a:prstGeom prst="rect">
          <a:avLst/>
        </a:prstGeom>
      </xdr:spPr>
    </xdr:pic>
    <xdr:clientData/>
  </xdr:twoCellAnchor>
  <xdr:twoCellAnchor editAs="oneCell">
    <xdr:from>
      <xdr:col>16</xdr:col>
      <xdr:colOff>0</xdr:colOff>
      <xdr:row>468</xdr:row>
      <xdr:rowOff>1</xdr:rowOff>
    </xdr:from>
    <xdr:to>
      <xdr:col>32</xdr:col>
      <xdr:colOff>347002</xdr:colOff>
      <xdr:row>485</xdr:row>
      <xdr:rowOff>97970</xdr:rowOff>
    </xdr:to>
    <xdr:pic>
      <xdr:nvPicPr>
        <xdr:cNvPr id="147" name="Afbeelding 146">
          <a:extLst>
            <a:ext uri="{FF2B5EF4-FFF2-40B4-BE49-F238E27FC236}">
              <a16:creationId xmlns:a16="http://schemas.microsoft.com/office/drawing/2014/main" id="{C087BF86-6659-4E01-99AF-D5600C5F6E62}"/>
            </a:ext>
          </a:extLst>
        </xdr:cNvPr>
        <xdr:cNvPicPr>
          <a:picLocks noChangeAspect="1"/>
        </xdr:cNvPicPr>
      </xdr:nvPicPr>
      <xdr:blipFill>
        <a:blip xmlns:r="http://schemas.openxmlformats.org/officeDocument/2006/relationships" r:embed="rId51"/>
        <a:stretch>
          <a:fillRect/>
        </a:stretch>
      </xdr:blipFill>
      <xdr:spPr>
        <a:xfrm>
          <a:off x="9822180" y="95531941"/>
          <a:ext cx="10100602" cy="3206929"/>
        </a:xfrm>
        <a:prstGeom prst="rect">
          <a:avLst/>
        </a:prstGeom>
        <a:ln>
          <a:solidFill>
            <a:srgbClr val="0070C0"/>
          </a:solidFill>
        </a:ln>
      </xdr:spPr>
    </xdr:pic>
    <xdr:clientData/>
  </xdr:twoCellAnchor>
  <xdr:twoCellAnchor editAs="oneCell">
    <xdr:from>
      <xdr:col>1</xdr:col>
      <xdr:colOff>0</xdr:colOff>
      <xdr:row>319</xdr:row>
      <xdr:rowOff>185530</xdr:rowOff>
    </xdr:from>
    <xdr:to>
      <xdr:col>7</xdr:col>
      <xdr:colOff>543752</xdr:colOff>
      <xdr:row>345</xdr:row>
      <xdr:rowOff>54654</xdr:rowOff>
    </xdr:to>
    <xdr:pic>
      <xdr:nvPicPr>
        <xdr:cNvPr id="148" name="Afbeelding 147">
          <a:extLst>
            <a:ext uri="{FF2B5EF4-FFF2-40B4-BE49-F238E27FC236}">
              <a16:creationId xmlns:a16="http://schemas.microsoft.com/office/drawing/2014/main" id="{FB5E0B6E-130B-485F-8B0B-AC1F4E249023}"/>
            </a:ext>
          </a:extLst>
        </xdr:cNvPr>
        <xdr:cNvPicPr>
          <a:picLocks noChangeAspect="1"/>
        </xdr:cNvPicPr>
      </xdr:nvPicPr>
      <xdr:blipFill>
        <a:blip xmlns:r="http://schemas.openxmlformats.org/officeDocument/2006/relationships" r:embed="rId52"/>
        <a:stretch>
          <a:fillRect/>
        </a:stretch>
      </xdr:blipFill>
      <xdr:spPr>
        <a:xfrm>
          <a:off x="678180" y="68468350"/>
          <a:ext cx="4201352" cy="4624004"/>
        </a:xfrm>
        <a:prstGeom prst="rect">
          <a:avLst/>
        </a:prstGeom>
      </xdr:spPr>
    </xdr:pic>
    <xdr:clientData/>
  </xdr:twoCellAnchor>
  <xdr:twoCellAnchor>
    <xdr:from>
      <xdr:col>3</xdr:col>
      <xdr:colOff>587827</xdr:colOff>
      <xdr:row>329</xdr:row>
      <xdr:rowOff>41117</xdr:rowOff>
    </xdr:from>
    <xdr:to>
      <xdr:col>12</xdr:col>
      <xdr:colOff>65311</xdr:colOff>
      <xdr:row>334</xdr:row>
      <xdr:rowOff>169816</xdr:rowOff>
    </xdr:to>
    <xdr:grpSp>
      <xdr:nvGrpSpPr>
        <xdr:cNvPr id="149" name="Groep 148">
          <a:extLst>
            <a:ext uri="{FF2B5EF4-FFF2-40B4-BE49-F238E27FC236}">
              <a16:creationId xmlns:a16="http://schemas.microsoft.com/office/drawing/2014/main" id="{00AC55A5-0DE2-40F5-B735-4DA15F0DFAD4}"/>
            </a:ext>
          </a:extLst>
        </xdr:cNvPr>
        <xdr:cNvGrpSpPr/>
      </xdr:nvGrpSpPr>
      <xdr:grpSpPr>
        <a:xfrm>
          <a:off x="2484944" y="70486703"/>
          <a:ext cx="4963884" cy="1048354"/>
          <a:chOff x="6313713" y="18372660"/>
          <a:chExt cx="4963884" cy="868928"/>
        </a:xfrm>
      </xdr:grpSpPr>
      <xdr:pic>
        <xdr:nvPicPr>
          <xdr:cNvPr id="150" name="Afbeelding 149">
            <a:extLst>
              <a:ext uri="{FF2B5EF4-FFF2-40B4-BE49-F238E27FC236}">
                <a16:creationId xmlns:a16="http://schemas.microsoft.com/office/drawing/2014/main" id="{24DCE6BB-7C08-4AC6-A5A8-087579B82E45}"/>
              </a:ext>
            </a:extLst>
          </xdr:cNvPr>
          <xdr:cNvPicPr>
            <a:picLocks noChangeAspect="1"/>
          </xdr:cNvPicPr>
        </xdr:nvPicPr>
        <xdr:blipFill rotWithShape="1">
          <a:blip xmlns:r="http://schemas.openxmlformats.org/officeDocument/2006/relationships" r:embed="rId53"/>
          <a:srcRect l="1" t="25718" r="26244" b="52137"/>
          <a:stretch/>
        </xdr:blipFill>
        <xdr:spPr>
          <a:xfrm>
            <a:off x="6313713" y="18372660"/>
            <a:ext cx="4963884" cy="838179"/>
          </a:xfrm>
          <a:prstGeom prst="rect">
            <a:avLst/>
          </a:prstGeom>
        </xdr:spPr>
      </xdr:pic>
      <xdr:sp macro="" textlink="">
        <xdr:nvSpPr>
          <xdr:cNvPr id="151" name="Ovaal 150">
            <a:extLst>
              <a:ext uri="{FF2B5EF4-FFF2-40B4-BE49-F238E27FC236}">
                <a16:creationId xmlns:a16="http://schemas.microsoft.com/office/drawing/2014/main" id="{3AEB2D58-72B7-4679-A3D0-4983186421DD}"/>
              </a:ext>
            </a:extLst>
          </xdr:cNvPr>
          <xdr:cNvSpPr/>
        </xdr:nvSpPr>
        <xdr:spPr>
          <a:xfrm>
            <a:off x="10857953" y="18815286"/>
            <a:ext cx="386988" cy="426302"/>
          </a:xfrm>
          <a:prstGeom prst="ellipse">
            <a:avLst/>
          </a:prstGeom>
          <a:solidFill>
            <a:srgbClr val="DEEBF7">
              <a:alpha val="50196"/>
            </a:srgb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52" name="Gelijkbenige driehoek 151">
            <a:extLst>
              <a:ext uri="{FF2B5EF4-FFF2-40B4-BE49-F238E27FC236}">
                <a16:creationId xmlns:a16="http://schemas.microsoft.com/office/drawing/2014/main" id="{110F4B64-63F6-4695-8A9E-956FA02FC234}"/>
              </a:ext>
            </a:extLst>
          </xdr:cNvPr>
          <xdr:cNvSpPr/>
        </xdr:nvSpPr>
        <xdr:spPr>
          <a:xfrm flipV="1">
            <a:off x="10874829" y="18952028"/>
            <a:ext cx="348342" cy="221244"/>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clientData/>
  </xdr:twoCellAnchor>
  <xdr:twoCellAnchor editAs="oneCell">
    <xdr:from>
      <xdr:col>1</xdr:col>
      <xdr:colOff>0</xdr:colOff>
      <xdr:row>349</xdr:row>
      <xdr:rowOff>0</xdr:rowOff>
    </xdr:from>
    <xdr:to>
      <xdr:col>5</xdr:col>
      <xdr:colOff>181601</xdr:colOff>
      <xdr:row>370</xdr:row>
      <xdr:rowOff>167094</xdr:rowOff>
    </xdr:to>
    <xdr:pic>
      <xdr:nvPicPr>
        <xdr:cNvPr id="153" name="Afbeelding 152">
          <a:extLst>
            <a:ext uri="{FF2B5EF4-FFF2-40B4-BE49-F238E27FC236}">
              <a16:creationId xmlns:a16="http://schemas.microsoft.com/office/drawing/2014/main" id="{5D0E6EAF-439D-498C-B6FB-A34783E78BA4}"/>
            </a:ext>
          </a:extLst>
        </xdr:cNvPr>
        <xdr:cNvPicPr>
          <a:picLocks noChangeAspect="1"/>
        </xdr:cNvPicPr>
      </xdr:nvPicPr>
      <xdr:blipFill>
        <a:blip xmlns:r="http://schemas.openxmlformats.org/officeDocument/2006/relationships" r:embed="rId54"/>
        <a:stretch>
          <a:fillRect/>
        </a:stretch>
      </xdr:blipFill>
      <xdr:spPr>
        <a:xfrm>
          <a:off x="678180" y="73769220"/>
          <a:ext cx="2620001" cy="4007574"/>
        </a:xfrm>
        <a:prstGeom prst="rect">
          <a:avLst/>
        </a:prstGeom>
        <a:ln>
          <a:solidFill>
            <a:schemeClr val="accent1"/>
          </a:solidFill>
        </a:ln>
      </xdr:spPr>
    </xdr:pic>
    <xdr:clientData/>
  </xdr:twoCellAnchor>
  <xdr:oneCellAnchor>
    <xdr:from>
      <xdr:col>3</xdr:col>
      <xdr:colOff>492440</xdr:colOff>
      <xdr:row>351</xdr:row>
      <xdr:rowOff>184580</xdr:rowOff>
    </xdr:from>
    <xdr:ext cx="1098249" cy="264560"/>
    <xdr:sp macro="" textlink="">
      <xdr:nvSpPr>
        <xdr:cNvPr id="154" name="Tekstvak 153">
          <a:extLst>
            <a:ext uri="{FF2B5EF4-FFF2-40B4-BE49-F238E27FC236}">
              <a16:creationId xmlns:a16="http://schemas.microsoft.com/office/drawing/2014/main" id="{CA9633D3-1B86-4D3F-80E3-AE642DB0218A}"/>
            </a:ext>
          </a:extLst>
        </xdr:cNvPr>
        <xdr:cNvSpPr txBox="1"/>
      </xdr:nvSpPr>
      <xdr:spPr>
        <a:xfrm rot="1192952">
          <a:off x="2389820" y="74319560"/>
          <a:ext cx="1098249" cy="264560"/>
        </a:xfrm>
        <a:prstGeom prst="rect">
          <a:avLst/>
        </a:prstGeom>
        <a:solidFill>
          <a:srgbClr val="FF0000"/>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nl-NL" sz="1100">
              <a:solidFill>
                <a:srgbClr val="FFFF00"/>
              </a:solidFill>
            </a:rPr>
            <a:t>maximum score</a:t>
          </a:r>
        </a:p>
      </xdr:txBody>
    </xdr:sp>
    <xdr:clientData/>
  </xdr:oneCellAnchor>
  <xdr:twoCellAnchor editAs="oneCell">
    <xdr:from>
      <xdr:col>1</xdr:col>
      <xdr:colOff>0</xdr:colOff>
      <xdr:row>375</xdr:row>
      <xdr:rowOff>0</xdr:rowOff>
    </xdr:from>
    <xdr:to>
      <xdr:col>7</xdr:col>
      <xdr:colOff>157903</xdr:colOff>
      <xdr:row>391</xdr:row>
      <xdr:rowOff>13693</xdr:rowOff>
    </xdr:to>
    <xdr:pic>
      <xdr:nvPicPr>
        <xdr:cNvPr id="155" name="Afbeelding 154">
          <a:extLst>
            <a:ext uri="{FF2B5EF4-FFF2-40B4-BE49-F238E27FC236}">
              <a16:creationId xmlns:a16="http://schemas.microsoft.com/office/drawing/2014/main" id="{909F2A19-8E84-4195-877E-99B317FE5A4A}"/>
            </a:ext>
          </a:extLst>
        </xdr:cNvPr>
        <xdr:cNvPicPr>
          <a:picLocks noChangeAspect="1"/>
        </xdr:cNvPicPr>
      </xdr:nvPicPr>
      <xdr:blipFill>
        <a:blip xmlns:r="http://schemas.openxmlformats.org/officeDocument/2006/relationships" r:embed="rId55"/>
        <a:stretch>
          <a:fillRect/>
        </a:stretch>
      </xdr:blipFill>
      <xdr:spPr>
        <a:xfrm>
          <a:off x="678180" y="78524100"/>
          <a:ext cx="3815503" cy="2939773"/>
        </a:xfrm>
        <a:prstGeom prst="rect">
          <a:avLst/>
        </a:prstGeom>
        <a:ln>
          <a:solidFill>
            <a:schemeClr val="accent1"/>
          </a:solidFill>
        </a:ln>
      </xdr:spPr>
    </xdr:pic>
    <xdr:clientData/>
  </xdr:twoCellAnchor>
  <xdr:twoCellAnchor editAs="oneCell">
    <xdr:from>
      <xdr:col>1</xdr:col>
      <xdr:colOff>0</xdr:colOff>
      <xdr:row>395</xdr:row>
      <xdr:rowOff>0</xdr:rowOff>
    </xdr:from>
    <xdr:to>
      <xdr:col>8</xdr:col>
      <xdr:colOff>50287</xdr:colOff>
      <xdr:row>417</xdr:row>
      <xdr:rowOff>155319</xdr:rowOff>
    </xdr:to>
    <xdr:pic>
      <xdr:nvPicPr>
        <xdr:cNvPr id="156" name="Afbeelding 155">
          <a:extLst>
            <a:ext uri="{FF2B5EF4-FFF2-40B4-BE49-F238E27FC236}">
              <a16:creationId xmlns:a16="http://schemas.microsoft.com/office/drawing/2014/main" id="{CA2E56FA-26FA-4C92-B682-8D96A6FB2797}"/>
            </a:ext>
          </a:extLst>
        </xdr:cNvPr>
        <xdr:cNvPicPr>
          <a:picLocks noChangeAspect="1"/>
        </xdr:cNvPicPr>
      </xdr:nvPicPr>
      <xdr:blipFill>
        <a:blip xmlns:r="http://schemas.openxmlformats.org/officeDocument/2006/relationships" r:embed="rId56"/>
        <a:stretch>
          <a:fillRect/>
        </a:stretch>
      </xdr:blipFill>
      <xdr:spPr>
        <a:xfrm>
          <a:off x="678180" y="82181700"/>
          <a:ext cx="4317487" cy="4178678"/>
        </a:xfrm>
        <a:prstGeom prst="rect">
          <a:avLst/>
        </a:prstGeom>
        <a:ln>
          <a:solidFill>
            <a:schemeClr val="accent1"/>
          </a:solidFill>
        </a:ln>
      </xdr:spPr>
    </xdr:pic>
    <xdr:clientData/>
  </xdr:twoCellAnchor>
  <xdr:twoCellAnchor editAs="oneCell">
    <xdr:from>
      <xdr:col>1</xdr:col>
      <xdr:colOff>0</xdr:colOff>
      <xdr:row>420</xdr:row>
      <xdr:rowOff>0</xdr:rowOff>
    </xdr:from>
    <xdr:to>
      <xdr:col>13</xdr:col>
      <xdr:colOff>340672</xdr:colOff>
      <xdr:row>435</xdr:row>
      <xdr:rowOff>163774</xdr:rowOff>
    </xdr:to>
    <xdr:pic>
      <xdr:nvPicPr>
        <xdr:cNvPr id="157" name="Afbeelding 156">
          <a:extLst>
            <a:ext uri="{FF2B5EF4-FFF2-40B4-BE49-F238E27FC236}">
              <a16:creationId xmlns:a16="http://schemas.microsoft.com/office/drawing/2014/main" id="{B0C0F4F5-4227-49B9-A299-71A928977F59}"/>
            </a:ext>
          </a:extLst>
        </xdr:cNvPr>
        <xdr:cNvPicPr>
          <a:picLocks noChangeAspect="1"/>
        </xdr:cNvPicPr>
      </xdr:nvPicPr>
      <xdr:blipFill>
        <a:blip xmlns:r="http://schemas.openxmlformats.org/officeDocument/2006/relationships" r:embed="rId57"/>
        <a:stretch>
          <a:fillRect/>
        </a:stretch>
      </xdr:blipFill>
      <xdr:spPr>
        <a:xfrm>
          <a:off x="678180" y="86753700"/>
          <a:ext cx="7655872" cy="2906973"/>
        </a:xfrm>
        <a:prstGeom prst="rect">
          <a:avLst/>
        </a:prstGeom>
      </xdr:spPr>
    </xdr:pic>
    <xdr:clientData/>
  </xdr:twoCellAnchor>
  <xdr:twoCellAnchor editAs="oneCell">
    <xdr:from>
      <xdr:col>1</xdr:col>
      <xdr:colOff>0</xdr:colOff>
      <xdr:row>440</xdr:row>
      <xdr:rowOff>0</xdr:rowOff>
    </xdr:from>
    <xdr:to>
      <xdr:col>10</xdr:col>
      <xdr:colOff>540635</xdr:colOff>
      <xdr:row>457</xdr:row>
      <xdr:rowOff>128504</xdr:rowOff>
    </xdr:to>
    <xdr:pic>
      <xdr:nvPicPr>
        <xdr:cNvPr id="158" name="Afbeelding 157">
          <a:extLst>
            <a:ext uri="{FF2B5EF4-FFF2-40B4-BE49-F238E27FC236}">
              <a16:creationId xmlns:a16="http://schemas.microsoft.com/office/drawing/2014/main" id="{D2D8A586-5B90-4E3D-94AE-58B2028CDBC2}"/>
            </a:ext>
          </a:extLst>
        </xdr:cNvPr>
        <xdr:cNvPicPr>
          <a:picLocks noChangeAspect="1"/>
        </xdr:cNvPicPr>
      </xdr:nvPicPr>
      <xdr:blipFill>
        <a:blip xmlns:r="http://schemas.openxmlformats.org/officeDocument/2006/relationships" r:embed="rId58"/>
        <a:stretch>
          <a:fillRect/>
        </a:stretch>
      </xdr:blipFill>
      <xdr:spPr>
        <a:xfrm>
          <a:off x="678180" y="90411300"/>
          <a:ext cx="6027035" cy="32374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2024</xdr:col>
      <xdr:colOff>357187</xdr:colOff>
      <xdr:row>38</xdr:row>
      <xdr:rowOff>95249</xdr:rowOff>
    </xdr:from>
    <xdr:ext cx="1262062" cy="805816"/>
    <xdr:sp macro="" textlink="">
      <xdr:nvSpPr>
        <xdr:cNvPr id="40" name="Tekstvak 39">
          <a:extLst>
            <a:ext uri="{FF2B5EF4-FFF2-40B4-BE49-F238E27FC236}">
              <a16:creationId xmlns:a16="http://schemas.microsoft.com/office/drawing/2014/main" id="{820D460F-03A4-4A56-B5B6-2D192C7DE37A}"/>
            </a:ext>
          </a:extLst>
        </xdr:cNvPr>
        <xdr:cNvSpPr txBox="1"/>
      </xdr:nvSpPr>
      <xdr:spPr>
        <a:xfrm>
          <a:off x="24360187" y="7021829"/>
          <a:ext cx="1262062" cy="805816"/>
        </a:xfrm>
        <a:prstGeom prst="rect">
          <a:avLst/>
        </a:prstGeom>
        <a:solidFill>
          <a:srgbClr val="FFFFFF">
            <a:alpha val="1961"/>
          </a:srgbClr>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nl-NL" sz="4000"/>
        </a:p>
      </xdr:txBody>
    </xdr:sp>
    <xdr:clientData/>
  </xdr:oneCellAnchor>
  <xdr:twoCellAnchor>
    <xdr:from>
      <xdr:col>69</xdr:col>
      <xdr:colOff>536864</xdr:colOff>
      <xdr:row>44</xdr:row>
      <xdr:rowOff>809969</xdr:rowOff>
    </xdr:from>
    <xdr:to>
      <xdr:col>79</xdr:col>
      <xdr:colOff>108933</xdr:colOff>
      <xdr:row>62</xdr:row>
      <xdr:rowOff>48836</xdr:rowOff>
    </xdr:to>
    <xdr:sp macro="" textlink="">
      <xdr:nvSpPr>
        <xdr:cNvPr id="102" name="Rechthoek 101">
          <a:extLst>
            <a:ext uri="{FF2B5EF4-FFF2-40B4-BE49-F238E27FC236}">
              <a16:creationId xmlns:a16="http://schemas.microsoft.com/office/drawing/2014/main" id="{155AD820-19A9-464F-B8C5-D0F3A7E3551E}"/>
            </a:ext>
          </a:extLst>
        </xdr:cNvPr>
        <xdr:cNvSpPr/>
      </xdr:nvSpPr>
      <xdr:spPr>
        <a:xfrm>
          <a:off x="37909500" y="10005924"/>
          <a:ext cx="5633433" cy="6599094"/>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9</xdr:col>
      <xdr:colOff>46760</xdr:colOff>
      <xdr:row>20</xdr:row>
      <xdr:rowOff>190500</xdr:rowOff>
    </xdr:from>
    <xdr:to>
      <xdr:col>9</xdr:col>
      <xdr:colOff>6051665</xdr:colOff>
      <xdr:row>39</xdr:row>
      <xdr:rowOff>495300</xdr:rowOff>
    </xdr:to>
    <xdr:graphicFrame macro="">
      <xdr:nvGraphicFramePr>
        <xdr:cNvPr id="10" name="Grafiek 9">
          <a:extLst>
            <a:ext uri="{FF2B5EF4-FFF2-40B4-BE49-F238E27FC236}">
              <a16:creationId xmlns:a16="http://schemas.microsoft.com/office/drawing/2014/main" id="{BA19669A-EFAA-4563-8315-C3E634DD198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37</xdr:col>
      <xdr:colOff>930234</xdr:colOff>
      <xdr:row>18</xdr:row>
      <xdr:rowOff>0</xdr:rowOff>
    </xdr:from>
    <xdr:to>
      <xdr:col>42</xdr:col>
      <xdr:colOff>27710</xdr:colOff>
      <xdr:row>19</xdr:row>
      <xdr:rowOff>110837</xdr:rowOff>
    </xdr:to>
    <xdr:sp macro="" textlink="">
      <xdr:nvSpPr>
        <xdr:cNvPr id="15" name="Rechthoek 14">
          <a:extLst>
            <a:ext uri="{FF2B5EF4-FFF2-40B4-BE49-F238E27FC236}">
              <a16:creationId xmlns:a16="http://schemas.microsoft.com/office/drawing/2014/main" id="{862B4DC6-8436-4736-966A-FAC4DE4D0710}"/>
            </a:ext>
          </a:extLst>
        </xdr:cNvPr>
        <xdr:cNvSpPr/>
      </xdr:nvSpPr>
      <xdr:spPr>
        <a:xfrm>
          <a:off x="20520561" y="4322618"/>
          <a:ext cx="2394858" cy="290946"/>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57</xdr:col>
      <xdr:colOff>148590</xdr:colOff>
      <xdr:row>21</xdr:row>
      <xdr:rowOff>365761</xdr:rowOff>
    </xdr:from>
    <xdr:to>
      <xdr:col>72</xdr:col>
      <xdr:colOff>91440</xdr:colOff>
      <xdr:row>34</xdr:row>
      <xdr:rowOff>304802</xdr:rowOff>
    </xdr:to>
    <xdr:graphicFrame macro="">
      <xdr:nvGraphicFramePr>
        <xdr:cNvPr id="12" name="Grafiek 11">
          <a:extLst>
            <a:ext uri="{FF2B5EF4-FFF2-40B4-BE49-F238E27FC236}">
              <a16:creationId xmlns:a16="http://schemas.microsoft.com/office/drawing/2014/main" id="{5CBA11AC-C32D-4087-8C21-CC2F8F8028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19050</xdr:colOff>
      <xdr:row>40</xdr:row>
      <xdr:rowOff>114300</xdr:rowOff>
    </xdr:from>
    <xdr:to>
      <xdr:col>9</xdr:col>
      <xdr:colOff>6115050</xdr:colOff>
      <xdr:row>77</xdr:row>
      <xdr:rowOff>12122</xdr:rowOff>
    </xdr:to>
    <xdr:graphicFrame macro="">
      <xdr:nvGraphicFramePr>
        <xdr:cNvPr id="13" name="Grafiek 12">
          <a:extLst>
            <a:ext uri="{FF2B5EF4-FFF2-40B4-BE49-F238E27FC236}">
              <a16:creationId xmlns:a16="http://schemas.microsoft.com/office/drawing/2014/main" id="{2480E073-90E3-4875-8333-14C9FC78D1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10</xdr:col>
      <xdr:colOff>341171</xdr:colOff>
      <xdr:row>1</xdr:row>
      <xdr:rowOff>228601</xdr:rowOff>
    </xdr:from>
    <xdr:to>
      <xdr:col>12</xdr:col>
      <xdr:colOff>12614</xdr:colOff>
      <xdr:row>1</xdr:row>
      <xdr:rowOff>1025303</xdr:rowOff>
    </xdr:to>
    <xdr:pic>
      <xdr:nvPicPr>
        <xdr:cNvPr id="2" name="Afbeelding 1">
          <a:extLst>
            <a:ext uri="{FF2B5EF4-FFF2-40B4-BE49-F238E27FC236}">
              <a16:creationId xmlns:a16="http://schemas.microsoft.com/office/drawing/2014/main" id="{CD2F23EB-C3B0-4339-B4D5-A44CF2990917}"/>
            </a:ext>
          </a:extLst>
        </xdr:cNvPr>
        <xdr:cNvPicPr>
          <a:picLocks noChangeAspect="1"/>
        </xdr:cNvPicPr>
      </xdr:nvPicPr>
      <xdr:blipFill rotWithShape="1">
        <a:blip xmlns:r="http://schemas.openxmlformats.org/officeDocument/2006/relationships" r:embed="rId4"/>
        <a:srcRect b="27721"/>
        <a:stretch/>
      </xdr:blipFill>
      <xdr:spPr>
        <a:xfrm>
          <a:off x="7547514" y="1110344"/>
          <a:ext cx="2534386" cy="796702"/>
        </a:xfrm>
        <a:prstGeom prst="rect">
          <a:avLst/>
        </a:prstGeom>
        <a:solidFill>
          <a:srgbClr val="FFFFFF">
            <a:alpha val="1961"/>
          </a:srgbClr>
        </a:solidFill>
        <a:ln>
          <a:noFill/>
        </a:ln>
      </xdr:spPr>
    </xdr:pic>
    <xdr:clientData/>
  </xdr:twoCellAnchor>
  <xdr:twoCellAnchor>
    <xdr:from>
      <xdr:col>2019</xdr:col>
      <xdr:colOff>51955</xdr:colOff>
      <xdr:row>0</xdr:row>
      <xdr:rowOff>0</xdr:rowOff>
    </xdr:from>
    <xdr:to>
      <xdr:col>2063</xdr:col>
      <xdr:colOff>547948</xdr:colOff>
      <xdr:row>90</xdr:row>
      <xdr:rowOff>138545</xdr:rowOff>
    </xdr:to>
    <xdr:sp macro="" textlink="">
      <xdr:nvSpPr>
        <xdr:cNvPr id="3" name="Rechthoek 2">
          <a:extLst>
            <a:ext uri="{FF2B5EF4-FFF2-40B4-BE49-F238E27FC236}">
              <a16:creationId xmlns:a16="http://schemas.microsoft.com/office/drawing/2014/main" id="{2AFA7FB8-598B-4E00-8EAC-63CFA3A4FCCB}"/>
            </a:ext>
          </a:extLst>
        </xdr:cNvPr>
        <xdr:cNvSpPr/>
      </xdr:nvSpPr>
      <xdr:spPr>
        <a:xfrm>
          <a:off x="1233868500" y="0"/>
          <a:ext cx="18631593" cy="21446836"/>
        </a:xfrm>
        <a:prstGeom prst="rect">
          <a:avLst/>
        </a:prstGeom>
        <a:solidFill>
          <a:srgbClr val="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0</xdr:col>
      <xdr:colOff>0</xdr:colOff>
      <xdr:row>1</xdr:row>
      <xdr:rowOff>166254</xdr:rowOff>
    </xdr:from>
    <xdr:to>
      <xdr:col>52</xdr:col>
      <xdr:colOff>13854</xdr:colOff>
      <xdr:row>77</xdr:row>
      <xdr:rowOff>0</xdr:rowOff>
    </xdr:to>
    <xdr:grpSp>
      <xdr:nvGrpSpPr>
        <xdr:cNvPr id="19" name="Groep 18">
          <a:extLst>
            <a:ext uri="{FF2B5EF4-FFF2-40B4-BE49-F238E27FC236}">
              <a16:creationId xmlns:a16="http://schemas.microsoft.com/office/drawing/2014/main" id="{AC017882-7ABC-45DF-A9BB-B976EAB93EF7}"/>
            </a:ext>
          </a:extLst>
        </xdr:cNvPr>
        <xdr:cNvGrpSpPr/>
      </xdr:nvGrpSpPr>
      <xdr:grpSpPr>
        <a:xfrm>
          <a:off x="0" y="1039090"/>
          <a:ext cx="36936218" cy="17789237"/>
          <a:chOff x="0" y="887186"/>
          <a:chExt cx="36989904" cy="17991364"/>
        </a:xfrm>
        <a:solidFill>
          <a:srgbClr val="FFFFFF">
            <a:alpha val="1961"/>
          </a:srgbClr>
        </a:solidFill>
      </xdr:grpSpPr>
      <xdr:sp macro="" textlink="">
        <xdr:nvSpPr>
          <xdr:cNvPr id="14" name="Rechthoek 13">
            <a:extLst>
              <a:ext uri="{FF2B5EF4-FFF2-40B4-BE49-F238E27FC236}">
                <a16:creationId xmlns:a16="http://schemas.microsoft.com/office/drawing/2014/main" id="{240AA9A9-98E0-456C-90C0-B114546568F3}"/>
              </a:ext>
            </a:extLst>
          </xdr:cNvPr>
          <xdr:cNvSpPr/>
        </xdr:nvSpPr>
        <xdr:spPr>
          <a:xfrm>
            <a:off x="0" y="887186"/>
            <a:ext cx="23330807" cy="1331139"/>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2" name="Rechthoek 41">
            <a:extLst>
              <a:ext uri="{FF2B5EF4-FFF2-40B4-BE49-F238E27FC236}">
                <a16:creationId xmlns:a16="http://schemas.microsoft.com/office/drawing/2014/main" id="{5EFA9776-02A1-4816-AEF7-4A14749D2F27}"/>
              </a:ext>
            </a:extLst>
          </xdr:cNvPr>
          <xdr:cNvSpPr/>
        </xdr:nvSpPr>
        <xdr:spPr>
          <a:xfrm>
            <a:off x="0" y="2498270"/>
            <a:ext cx="10213521" cy="1634218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3" name="Rechthoek 42">
            <a:extLst>
              <a:ext uri="{FF2B5EF4-FFF2-40B4-BE49-F238E27FC236}">
                <a16:creationId xmlns:a16="http://schemas.microsoft.com/office/drawing/2014/main" id="{596E786A-BEC1-4FB6-88D0-980074537F25}"/>
              </a:ext>
            </a:extLst>
          </xdr:cNvPr>
          <xdr:cNvSpPr/>
        </xdr:nvSpPr>
        <xdr:spPr>
          <a:xfrm>
            <a:off x="19479988" y="2498270"/>
            <a:ext cx="3839934" cy="1634218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nvGrpSpPr>
          <xdr:cNvPr id="17" name="Groep 16">
            <a:extLst>
              <a:ext uri="{FF2B5EF4-FFF2-40B4-BE49-F238E27FC236}">
                <a16:creationId xmlns:a16="http://schemas.microsoft.com/office/drawing/2014/main" id="{3619F542-F6EC-47FA-B462-2643A853B6C4}"/>
              </a:ext>
            </a:extLst>
          </xdr:cNvPr>
          <xdr:cNvGrpSpPr/>
        </xdr:nvGrpSpPr>
        <xdr:grpSpPr>
          <a:xfrm>
            <a:off x="9850277" y="4256315"/>
            <a:ext cx="10008688" cy="14584135"/>
            <a:chOff x="9850277" y="4256315"/>
            <a:chExt cx="10008688" cy="14584135"/>
          </a:xfrm>
          <a:grpFill/>
        </xdr:grpSpPr>
        <xdr:sp macro="" textlink="">
          <xdr:nvSpPr>
            <xdr:cNvPr id="44" name="Rechthoek 43">
              <a:extLst>
                <a:ext uri="{FF2B5EF4-FFF2-40B4-BE49-F238E27FC236}">
                  <a16:creationId xmlns:a16="http://schemas.microsoft.com/office/drawing/2014/main" id="{36F34DA3-5C2B-4761-9F49-A72AE9921EB4}"/>
                </a:ext>
              </a:extLst>
            </xdr:cNvPr>
            <xdr:cNvSpPr/>
          </xdr:nvSpPr>
          <xdr:spPr>
            <a:xfrm>
              <a:off x="10057279" y="4256315"/>
              <a:ext cx="9717742" cy="128723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5" name="Rechthoek 44">
              <a:extLst>
                <a:ext uri="{FF2B5EF4-FFF2-40B4-BE49-F238E27FC236}">
                  <a16:creationId xmlns:a16="http://schemas.microsoft.com/office/drawing/2014/main" id="{C60460DD-50E4-4CE5-B740-89CB486A4A0F}"/>
                </a:ext>
              </a:extLst>
            </xdr:cNvPr>
            <xdr:cNvSpPr/>
          </xdr:nvSpPr>
          <xdr:spPr>
            <a:xfrm>
              <a:off x="9947258" y="6781000"/>
              <a:ext cx="9731596" cy="184372"/>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6" name="Rechthoek 45">
              <a:extLst>
                <a:ext uri="{FF2B5EF4-FFF2-40B4-BE49-F238E27FC236}">
                  <a16:creationId xmlns:a16="http://schemas.microsoft.com/office/drawing/2014/main" id="{468D6EAB-2C6F-46DC-ADD5-93C36C89A844}"/>
                </a:ext>
              </a:extLst>
            </xdr:cNvPr>
            <xdr:cNvSpPr/>
          </xdr:nvSpPr>
          <xdr:spPr>
            <a:xfrm>
              <a:off x="9988822" y="7671155"/>
              <a:ext cx="9731596" cy="184372"/>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7" name="Rechthoek 46">
              <a:extLst>
                <a:ext uri="{FF2B5EF4-FFF2-40B4-BE49-F238E27FC236}">
                  <a16:creationId xmlns:a16="http://schemas.microsoft.com/office/drawing/2014/main" id="{4751B0E6-EDD5-48B8-9E9A-045E62DC7EBE}"/>
                </a:ext>
              </a:extLst>
            </xdr:cNvPr>
            <xdr:cNvSpPr/>
          </xdr:nvSpPr>
          <xdr:spPr>
            <a:xfrm>
              <a:off x="10044240" y="9657550"/>
              <a:ext cx="9717742" cy="184372"/>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8" name="Rechthoek 47">
              <a:extLst>
                <a:ext uri="{FF2B5EF4-FFF2-40B4-BE49-F238E27FC236}">
                  <a16:creationId xmlns:a16="http://schemas.microsoft.com/office/drawing/2014/main" id="{27A6C26C-8C50-41F7-80CD-00D5E1A21869}"/>
                </a:ext>
              </a:extLst>
            </xdr:cNvPr>
            <xdr:cNvSpPr/>
          </xdr:nvSpPr>
          <xdr:spPr>
            <a:xfrm>
              <a:off x="9961114" y="11100155"/>
              <a:ext cx="9731596" cy="184372"/>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9" name="Rechthoek 48">
              <a:extLst>
                <a:ext uri="{FF2B5EF4-FFF2-40B4-BE49-F238E27FC236}">
                  <a16:creationId xmlns:a16="http://schemas.microsoft.com/office/drawing/2014/main" id="{59373526-1158-4EDA-AE76-92C72AA31689}"/>
                </a:ext>
              </a:extLst>
            </xdr:cNvPr>
            <xdr:cNvSpPr/>
          </xdr:nvSpPr>
          <xdr:spPr>
            <a:xfrm>
              <a:off x="9961114" y="11943551"/>
              <a:ext cx="9731596" cy="184372"/>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0" name="Rechthoek 49">
              <a:extLst>
                <a:ext uri="{FF2B5EF4-FFF2-40B4-BE49-F238E27FC236}">
                  <a16:creationId xmlns:a16="http://schemas.microsoft.com/office/drawing/2014/main" id="{A777D7D0-C1AB-45A2-A6F5-C898BE7A9D6D}"/>
                </a:ext>
              </a:extLst>
            </xdr:cNvPr>
            <xdr:cNvSpPr/>
          </xdr:nvSpPr>
          <xdr:spPr>
            <a:xfrm>
              <a:off x="10141223" y="12724601"/>
              <a:ext cx="9717742" cy="184372"/>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1" name="Rechthoek 50">
              <a:extLst>
                <a:ext uri="{FF2B5EF4-FFF2-40B4-BE49-F238E27FC236}">
                  <a16:creationId xmlns:a16="http://schemas.microsoft.com/office/drawing/2014/main" id="{74899898-81EA-4F7A-92C5-E56220F060F3}"/>
                </a:ext>
              </a:extLst>
            </xdr:cNvPr>
            <xdr:cNvSpPr/>
          </xdr:nvSpPr>
          <xdr:spPr>
            <a:xfrm>
              <a:off x="9988823" y="14006146"/>
              <a:ext cx="9731596" cy="184372"/>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2" name="Rechthoek 51">
              <a:extLst>
                <a:ext uri="{FF2B5EF4-FFF2-40B4-BE49-F238E27FC236}">
                  <a16:creationId xmlns:a16="http://schemas.microsoft.com/office/drawing/2014/main" id="{ACF9444B-4F25-43FE-B0C4-54EACC3A9CC9}"/>
                </a:ext>
              </a:extLst>
            </xdr:cNvPr>
            <xdr:cNvSpPr/>
          </xdr:nvSpPr>
          <xdr:spPr>
            <a:xfrm>
              <a:off x="9891841" y="15247859"/>
              <a:ext cx="9731596" cy="1081453"/>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3" name="Rechthoek 52">
              <a:extLst>
                <a:ext uri="{FF2B5EF4-FFF2-40B4-BE49-F238E27FC236}">
                  <a16:creationId xmlns:a16="http://schemas.microsoft.com/office/drawing/2014/main" id="{7869E5D8-60AB-408A-B0B4-CA19EABC0D18}"/>
                </a:ext>
              </a:extLst>
            </xdr:cNvPr>
            <xdr:cNvSpPr/>
          </xdr:nvSpPr>
          <xdr:spPr>
            <a:xfrm>
              <a:off x="9850277" y="16872304"/>
              <a:ext cx="9728133" cy="371409"/>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4" name="Rechthoek 53">
              <a:extLst>
                <a:ext uri="{FF2B5EF4-FFF2-40B4-BE49-F238E27FC236}">
                  <a16:creationId xmlns:a16="http://schemas.microsoft.com/office/drawing/2014/main" id="{C2CCFFED-2B14-4CF7-81A7-76C94E9EB9F3}"/>
                </a:ext>
              </a:extLst>
            </xdr:cNvPr>
            <xdr:cNvSpPr/>
          </xdr:nvSpPr>
          <xdr:spPr>
            <a:xfrm>
              <a:off x="9905696" y="17786705"/>
              <a:ext cx="9731596" cy="388727"/>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5" name="Rechthoek 54">
              <a:extLst>
                <a:ext uri="{FF2B5EF4-FFF2-40B4-BE49-F238E27FC236}">
                  <a16:creationId xmlns:a16="http://schemas.microsoft.com/office/drawing/2014/main" id="{36F92F63-780F-4C13-A1A3-FF391A2568C3}"/>
                </a:ext>
              </a:extLst>
            </xdr:cNvPr>
            <xdr:cNvSpPr/>
          </xdr:nvSpPr>
          <xdr:spPr>
            <a:xfrm>
              <a:off x="9933405" y="18753060"/>
              <a:ext cx="9731596" cy="8739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sp macro="" textlink="">
        <xdr:nvSpPr>
          <xdr:cNvPr id="56" name="Rechthoek 55">
            <a:extLst>
              <a:ext uri="{FF2B5EF4-FFF2-40B4-BE49-F238E27FC236}">
                <a16:creationId xmlns:a16="http://schemas.microsoft.com/office/drawing/2014/main" id="{81C06745-0488-4924-8DDB-8C1877D0A079}"/>
              </a:ext>
            </a:extLst>
          </xdr:cNvPr>
          <xdr:cNvSpPr/>
        </xdr:nvSpPr>
        <xdr:spPr>
          <a:xfrm>
            <a:off x="30454024" y="913906"/>
            <a:ext cx="6535880" cy="17964644"/>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7" name="Rechthoek 56">
            <a:extLst>
              <a:ext uri="{FF2B5EF4-FFF2-40B4-BE49-F238E27FC236}">
                <a16:creationId xmlns:a16="http://schemas.microsoft.com/office/drawing/2014/main" id="{DFD3B76F-F718-4355-952E-6FF776879436}"/>
              </a:ext>
            </a:extLst>
          </xdr:cNvPr>
          <xdr:cNvSpPr/>
        </xdr:nvSpPr>
        <xdr:spPr>
          <a:xfrm>
            <a:off x="23805575" y="941616"/>
            <a:ext cx="6539344" cy="4633107"/>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13853</xdr:colOff>
      <xdr:row>14</xdr:row>
      <xdr:rowOff>228601</xdr:rowOff>
    </xdr:from>
    <xdr:to>
      <xdr:col>3</xdr:col>
      <xdr:colOff>2340429</xdr:colOff>
      <xdr:row>14</xdr:row>
      <xdr:rowOff>4558145</xdr:rowOff>
    </xdr:to>
    <xdr:graphicFrame macro="">
      <xdr:nvGraphicFramePr>
        <xdr:cNvPr id="11" name="Grafiek 10">
          <a:extLst>
            <a:ext uri="{FF2B5EF4-FFF2-40B4-BE49-F238E27FC236}">
              <a16:creationId xmlns:a16="http://schemas.microsoft.com/office/drawing/2014/main" id="{6BFE8468-D054-4008-978B-0DB093147EB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10</xdr:col>
      <xdr:colOff>42380</xdr:colOff>
      <xdr:row>2</xdr:row>
      <xdr:rowOff>28525</xdr:rowOff>
    </xdr:from>
    <xdr:to>
      <xdr:col>12</xdr:col>
      <xdr:colOff>532304</xdr:colOff>
      <xdr:row>4</xdr:row>
      <xdr:rowOff>236342</xdr:rowOff>
    </xdr:to>
    <xdr:pic>
      <xdr:nvPicPr>
        <xdr:cNvPr id="2" name="Afbeelding 1">
          <a:extLst>
            <a:ext uri="{FF2B5EF4-FFF2-40B4-BE49-F238E27FC236}">
              <a16:creationId xmlns:a16="http://schemas.microsoft.com/office/drawing/2014/main" id="{9E7EB722-15CB-42E0-A443-A1911F839107}"/>
            </a:ext>
          </a:extLst>
        </xdr:cNvPr>
        <xdr:cNvPicPr>
          <a:picLocks noChangeAspect="1"/>
        </xdr:cNvPicPr>
      </xdr:nvPicPr>
      <xdr:blipFill>
        <a:blip xmlns:r="http://schemas.openxmlformats.org/officeDocument/2006/relationships" r:embed="rId2"/>
        <a:stretch>
          <a:fillRect/>
        </a:stretch>
      </xdr:blipFill>
      <xdr:spPr>
        <a:xfrm>
          <a:off x="8917439" y="898101"/>
          <a:ext cx="1709124" cy="754665"/>
        </a:xfrm>
        <a:prstGeom prst="rect">
          <a:avLst/>
        </a:prstGeom>
      </xdr:spPr>
    </xdr:pic>
    <xdr:clientData/>
  </xdr:twoCellAnchor>
  <xdr:twoCellAnchor>
    <xdr:from>
      <xdr:col>5</xdr:col>
      <xdr:colOff>484910</xdr:colOff>
      <xdr:row>14</xdr:row>
      <xdr:rowOff>83123</xdr:rowOff>
    </xdr:from>
    <xdr:to>
      <xdr:col>15</xdr:col>
      <xdr:colOff>51955</xdr:colOff>
      <xdr:row>14</xdr:row>
      <xdr:rowOff>4817913</xdr:rowOff>
    </xdr:to>
    <xdr:graphicFrame macro="">
      <xdr:nvGraphicFramePr>
        <xdr:cNvPr id="7" name="Grafiek 6">
          <a:extLst>
            <a:ext uri="{FF2B5EF4-FFF2-40B4-BE49-F238E27FC236}">
              <a16:creationId xmlns:a16="http://schemas.microsoft.com/office/drawing/2014/main" id="{7AE83EDE-1D40-4BFB-9FCF-D775CD9E52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540327</xdr:colOff>
      <xdr:row>5</xdr:row>
      <xdr:rowOff>207819</xdr:rowOff>
    </xdr:from>
    <xdr:to>
      <xdr:col>13</xdr:col>
      <xdr:colOff>0</xdr:colOff>
      <xdr:row>8</xdr:row>
      <xdr:rowOff>152401</xdr:rowOff>
    </xdr:to>
    <xdr:sp macro="" textlink="">
      <xdr:nvSpPr>
        <xdr:cNvPr id="21" name="Rechthoek 20">
          <a:extLst>
            <a:ext uri="{FF2B5EF4-FFF2-40B4-BE49-F238E27FC236}">
              <a16:creationId xmlns:a16="http://schemas.microsoft.com/office/drawing/2014/main" id="{4354F6F1-D8AF-41EE-A275-F91FB2128180}"/>
            </a:ext>
          </a:extLst>
        </xdr:cNvPr>
        <xdr:cNvSpPr/>
      </xdr:nvSpPr>
      <xdr:spPr>
        <a:xfrm>
          <a:off x="1149927" y="1898074"/>
          <a:ext cx="9559637" cy="568036"/>
        </a:xfrm>
        <a:prstGeom prst="rect">
          <a:avLst/>
        </a:prstGeom>
        <a:solidFill>
          <a:srgbClr val="FFFFFF">
            <a:alpha val="1176"/>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0</xdr:col>
      <xdr:colOff>10886</xdr:colOff>
      <xdr:row>0</xdr:row>
      <xdr:rowOff>0</xdr:rowOff>
    </xdr:from>
    <xdr:to>
      <xdr:col>55</xdr:col>
      <xdr:colOff>32657</xdr:colOff>
      <xdr:row>68</xdr:row>
      <xdr:rowOff>76199</xdr:rowOff>
    </xdr:to>
    <xdr:grpSp>
      <xdr:nvGrpSpPr>
        <xdr:cNvPr id="3" name="Groep 2">
          <a:extLst>
            <a:ext uri="{FF2B5EF4-FFF2-40B4-BE49-F238E27FC236}">
              <a16:creationId xmlns:a16="http://schemas.microsoft.com/office/drawing/2014/main" id="{9D9E9AB2-EAE9-4F93-A990-C7CA0003F5AA}"/>
            </a:ext>
          </a:extLst>
        </xdr:cNvPr>
        <xdr:cNvGrpSpPr/>
      </xdr:nvGrpSpPr>
      <xdr:grpSpPr>
        <a:xfrm>
          <a:off x="10886" y="0"/>
          <a:ext cx="27398353" cy="18253363"/>
          <a:chOff x="10886" y="0"/>
          <a:chExt cx="27388457" cy="18473056"/>
        </a:xfrm>
        <a:solidFill>
          <a:srgbClr val="FFFFFF">
            <a:alpha val="1961"/>
          </a:srgbClr>
        </a:solidFill>
      </xdr:grpSpPr>
      <xdr:sp macro="" textlink="">
        <xdr:nvSpPr>
          <xdr:cNvPr id="20" name="Rechthoek 19">
            <a:extLst>
              <a:ext uri="{FF2B5EF4-FFF2-40B4-BE49-F238E27FC236}">
                <a16:creationId xmlns:a16="http://schemas.microsoft.com/office/drawing/2014/main" id="{FDA2ED4A-BC04-4D0F-8359-004E63418231}"/>
              </a:ext>
            </a:extLst>
          </xdr:cNvPr>
          <xdr:cNvSpPr/>
        </xdr:nvSpPr>
        <xdr:spPr>
          <a:xfrm>
            <a:off x="14556179" y="0"/>
            <a:ext cx="12843164" cy="839288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marL="0" indent="0" algn="l"/>
            <a:endParaRPr lang="nl-NL" sz="1100">
              <a:solidFill>
                <a:schemeClr val="lt1"/>
              </a:solidFill>
              <a:latin typeface="+mn-lt"/>
              <a:ea typeface="+mn-ea"/>
              <a:cs typeface="+mn-cs"/>
            </a:endParaRPr>
          </a:p>
        </xdr:txBody>
      </xdr:sp>
      <xdr:sp macro="" textlink="">
        <xdr:nvSpPr>
          <xdr:cNvPr id="22" name="Rechthoek 21">
            <a:extLst>
              <a:ext uri="{FF2B5EF4-FFF2-40B4-BE49-F238E27FC236}">
                <a16:creationId xmlns:a16="http://schemas.microsoft.com/office/drawing/2014/main" id="{4144EBEB-7460-477B-9A90-FF1D521319A7}"/>
              </a:ext>
            </a:extLst>
          </xdr:cNvPr>
          <xdr:cNvSpPr/>
        </xdr:nvSpPr>
        <xdr:spPr>
          <a:xfrm>
            <a:off x="1251857" y="914399"/>
            <a:ext cx="12681856" cy="12453257"/>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nl-NL" sz="1100">
              <a:solidFill>
                <a:schemeClr val="lt1"/>
              </a:solidFill>
              <a:latin typeface="+mn-lt"/>
              <a:ea typeface="+mn-ea"/>
              <a:cs typeface="+mn-cs"/>
            </a:endParaRPr>
          </a:p>
        </xdr:txBody>
      </xdr:sp>
      <xdr:sp macro="" textlink="">
        <xdr:nvSpPr>
          <xdr:cNvPr id="23" name="Rechthoek 22">
            <a:extLst>
              <a:ext uri="{FF2B5EF4-FFF2-40B4-BE49-F238E27FC236}">
                <a16:creationId xmlns:a16="http://schemas.microsoft.com/office/drawing/2014/main" id="{39561D84-75B5-475C-8E3C-88A7BE9C9917}"/>
              </a:ext>
            </a:extLst>
          </xdr:cNvPr>
          <xdr:cNvSpPr/>
        </xdr:nvSpPr>
        <xdr:spPr>
          <a:xfrm>
            <a:off x="14619515" y="8327572"/>
            <a:ext cx="12681856" cy="488768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24" name="Rechthoek 23">
            <a:extLst>
              <a:ext uri="{FF2B5EF4-FFF2-40B4-BE49-F238E27FC236}">
                <a16:creationId xmlns:a16="http://schemas.microsoft.com/office/drawing/2014/main" id="{B0495E58-6119-4BD6-90C1-EC6AA8AAC713}"/>
              </a:ext>
            </a:extLst>
          </xdr:cNvPr>
          <xdr:cNvSpPr/>
        </xdr:nvSpPr>
        <xdr:spPr>
          <a:xfrm>
            <a:off x="10886" y="13661571"/>
            <a:ext cx="27236056" cy="481148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166595</xdr:colOff>
      <xdr:row>96</xdr:row>
      <xdr:rowOff>91440</xdr:rowOff>
    </xdr:from>
    <xdr:to>
      <xdr:col>5</xdr:col>
      <xdr:colOff>277085</xdr:colOff>
      <xdr:row>126</xdr:row>
      <xdr:rowOff>0</xdr:rowOff>
    </xdr:to>
    <xdr:graphicFrame macro="">
      <xdr:nvGraphicFramePr>
        <xdr:cNvPr id="21" name="Grafiek 20">
          <a:extLst>
            <a:ext uri="{FF2B5EF4-FFF2-40B4-BE49-F238E27FC236}">
              <a16:creationId xmlns:a16="http://schemas.microsoft.com/office/drawing/2014/main" id="{80B2C802-6D55-451C-A832-5A7715BF486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28</xdr:col>
      <xdr:colOff>119496</xdr:colOff>
      <xdr:row>14</xdr:row>
      <xdr:rowOff>72735</xdr:rowOff>
    </xdr:from>
    <xdr:to>
      <xdr:col>43</xdr:col>
      <xdr:colOff>335280</xdr:colOff>
      <xdr:row>61</xdr:row>
      <xdr:rowOff>166254</xdr:rowOff>
    </xdr:to>
    <xdr:graphicFrame macro="">
      <xdr:nvGraphicFramePr>
        <xdr:cNvPr id="20" name="Grafiek 19">
          <a:extLst>
            <a:ext uri="{FF2B5EF4-FFF2-40B4-BE49-F238E27FC236}">
              <a16:creationId xmlns:a16="http://schemas.microsoft.com/office/drawing/2014/main" id="{89D3866C-65C1-41CB-946B-9F7145323E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792480</xdr:colOff>
      <xdr:row>96</xdr:row>
      <xdr:rowOff>129540</xdr:rowOff>
    </xdr:from>
    <xdr:to>
      <xdr:col>22</xdr:col>
      <xdr:colOff>1310640</xdr:colOff>
      <xdr:row>125</xdr:row>
      <xdr:rowOff>156210</xdr:rowOff>
    </xdr:to>
    <xdr:graphicFrame macro="">
      <xdr:nvGraphicFramePr>
        <xdr:cNvPr id="23" name="Grafiek 22">
          <a:extLst>
            <a:ext uri="{FF2B5EF4-FFF2-40B4-BE49-F238E27FC236}">
              <a16:creationId xmlns:a16="http://schemas.microsoft.com/office/drawing/2014/main" id="{05B44DCB-C8BC-4819-AC6A-3D31B3DE378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63725</xdr:colOff>
      <xdr:row>96</xdr:row>
      <xdr:rowOff>76200</xdr:rowOff>
    </xdr:from>
    <xdr:to>
      <xdr:col>14</xdr:col>
      <xdr:colOff>894305</xdr:colOff>
      <xdr:row>125</xdr:row>
      <xdr:rowOff>121920</xdr:rowOff>
    </xdr:to>
    <xdr:graphicFrame macro="">
      <xdr:nvGraphicFramePr>
        <xdr:cNvPr id="22" name="Grafiek 21">
          <a:extLst>
            <a:ext uri="{FF2B5EF4-FFF2-40B4-BE49-F238E27FC236}">
              <a16:creationId xmlns:a16="http://schemas.microsoft.com/office/drawing/2014/main" id="{787362BC-4FDA-40C5-815A-9AC0858FC1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0</xdr:col>
      <xdr:colOff>0</xdr:colOff>
      <xdr:row>49</xdr:row>
      <xdr:rowOff>170497</xdr:rowOff>
    </xdr:from>
    <xdr:ext cx="184731" cy="264560"/>
    <xdr:sp macro="" textlink="">
      <xdr:nvSpPr>
        <xdr:cNvPr id="2" name="Tekstvak 1">
          <a:extLst>
            <a:ext uri="{FF2B5EF4-FFF2-40B4-BE49-F238E27FC236}">
              <a16:creationId xmlns:a16="http://schemas.microsoft.com/office/drawing/2014/main" id="{A461E3DB-9B7B-44E8-8B4F-C8DE1F46EBAE}"/>
            </a:ext>
          </a:extLst>
        </xdr:cNvPr>
        <xdr:cNvSpPr txBox="1"/>
      </xdr:nvSpPr>
      <xdr:spPr>
        <a:xfrm>
          <a:off x="19552920" y="1646205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nl-NL" sz="1100"/>
        </a:p>
      </xdr:txBody>
    </xdr:sp>
    <xdr:clientData/>
  </xdr:oneCellAnchor>
  <xdr:oneCellAnchor>
    <xdr:from>
      <xdr:col>1968</xdr:col>
      <xdr:colOff>0</xdr:colOff>
      <xdr:row>38</xdr:row>
      <xdr:rowOff>95249</xdr:rowOff>
    </xdr:from>
    <xdr:ext cx="1262062" cy="805816"/>
    <xdr:sp macro="" textlink="">
      <xdr:nvSpPr>
        <xdr:cNvPr id="3" name="Tekstvak 2">
          <a:extLst>
            <a:ext uri="{FF2B5EF4-FFF2-40B4-BE49-F238E27FC236}">
              <a16:creationId xmlns:a16="http://schemas.microsoft.com/office/drawing/2014/main" id="{DC02A02E-8726-450C-892B-AFE726719F75}"/>
            </a:ext>
          </a:extLst>
        </xdr:cNvPr>
        <xdr:cNvSpPr txBox="1"/>
      </xdr:nvSpPr>
      <xdr:spPr>
        <a:xfrm>
          <a:off x="1248101707" y="13224509"/>
          <a:ext cx="1262062" cy="80581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nl-NL" sz="4000"/>
        </a:p>
      </xdr:txBody>
    </xdr:sp>
    <xdr:clientData/>
  </xdr:oneCellAnchor>
  <xdr:twoCellAnchor>
    <xdr:from>
      <xdr:col>14</xdr:col>
      <xdr:colOff>727710</xdr:colOff>
      <xdr:row>38</xdr:row>
      <xdr:rowOff>182880</xdr:rowOff>
    </xdr:from>
    <xdr:to>
      <xdr:col>22</xdr:col>
      <xdr:colOff>1341120</xdr:colOff>
      <xdr:row>67</xdr:row>
      <xdr:rowOff>91440</xdr:rowOff>
    </xdr:to>
    <xdr:graphicFrame macro="">
      <xdr:nvGraphicFramePr>
        <xdr:cNvPr id="12" name="Grafiek 11">
          <a:extLst>
            <a:ext uri="{FF2B5EF4-FFF2-40B4-BE49-F238E27FC236}">
              <a16:creationId xmlns:a16="http://schemas.microsoft.com/office/drawing/2014/main" id="{E9BB5CEF-07D6-4BDC-8721-C3010310EB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941070</xdr:colOff>
      <xdr:row>12</xdr:row>
      <xdr:rowOff>55419</xdr:rowOff>
    </xdr:from>
    <xdr:to>
      <xdr:col>22</xdr:col>
      <xdr:colOff>1158239</xdr:colOff>
      <xdr:row>37</xdr:row>
      <xdr:rowOff>144434</xdr:rowOff>
    </xdr:to>
    <xdr:graphicFrame macro="">
      <xdr:nvGraphicFramePr>
        <xdr:cNvPr id="19" name="Grafiek 18">
          <a:extLst>
            <a:ext uri="{FF2B5EF4-FFF2-40B4-BE49-F238E27FC236}">
              <a16:creationId xmlns:a16="http://schemas.microsoft.com/office/drawing/2014/main" id="{FF8B3FCC-4851-4E9B-A711-1C4283D8791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24</xdr:col>
      <xdr:colOff>60960</xdr:colOff>
      <xdr:row>2</xdr:row>
      <xdr:rowOff>152400</xdr:rowOff>
    </xdr:from>
    <xdr:to>
      <xdr:col>43</xdr:col>
      <xdr:colOff>487680</xdr:colOff>
      <xdr:row>126</xdr:row>
      <xdr:rowOff>30480</xdr:rowOff>
    </xdr:to>
    <xdr:sp macro="" textlink="">
      <xdr:nvSpPr>
        <xdr:cNvPr id="33" name="Rechthoek 32">
          <a:extLst>
            <a:ext uri="{FF2B5EF4-FFF2-40B4-BE49-F238E27FC236}">
              <a16:creationId xmlns:a16="http://schemas.microsoft.com/office/drawing/2014/main" id="{B0B26EA6-CBA5-43DB-8B7B-1B9D519C8B6A}"/>
            </a:ext>
          </a:extLst>
        </xdr:cNvPr>
        <xdr:cNvSpPr/>
      </xdr:nvSpPr>
      <xdr:spPr>
        <a:xfrm>
          <a:off x="23286720" y="1249680"/>
          <a:ext cx="21793200" cy="26974800"/>
        </a:xfrm>
        <a:prstGeom prst="rect">
          <a:avLst/>
        </a:prstGeom>
        <a:solidFill>
          <a:srgbClr val="FFFFFF">
            <a:alpha val="1176"/>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nl-NL" sz="1100">
            <a:solidFill>
              <a:schemeClr val="lt1"/>
            </a:solidFill>
            <a:latin typeface="+mn-lt"/>
            <a:ea typeface="+mn-ea"/>
            <a:cs typeface="+mn-cs"/>
          </a:endParaRPr>
        </a:p>
      </xdr:txBody>
    </xdr:sp>
    <xdr:clientData/>
  </xdr:twoCellAnchor>
  <xdr:twoCellAnchor editAs="oneCell">
    <xdr:from>
      <xdr:col>25</xdr:col>
      <xdr:colOff>10341</xdr:colOff>
      <xdr:row>45</xdr:row>
      <xdr:rowOff>58784</xdr:rowOff>
    </xdr:from>
    <xdr:to>
      <xdr:col>27</xdr:col>
      <xdr:colOff>4647260</xdr:colOff>
      <xdr:row>56</xdr:row>
      <xdr:rowOff>76200</xdr:rowOff>
    </xdr:to>
    <xdr:pic>
      <xdr:nvPicPr>
        <xdr:cNvPr id="4" name="Afbeelding 3">
          <a:extLst>
            <a:ext uri="{FF2B5EF4-FFF2-40B4-BE49-F238E27FC236}">
              <a16:creationId xmlns:a16="http://schemas.microsoft.com/office/drawing/2014/main" id="{7D4BE780-7AAA-4494-A711-4D9028DE8625}"/>
            </a:ext>
          </a:extLst>
        </xdr:cNvPr>
        <xdr:cNvPicPr>
          <a:picLocks noChangeAspect="1"/>
        </xdr:cNvPicPr>
      </xdr:nvPicPr>
      <xdr:blipFill>
        <a:blip xmlns:r="http://schemas.openxmlformats.org/officeDocument/2006/relationships" r:embed="rId7"/>
        <a:stretch>
          <a:fillRect/>
        </a:stretch>
      </xdr:blipFill>
      <xdr:spPr>
        <a:xfrm>
          <a:off x="23498991" y="10802984"/>
          <a:ext cx="7189619" cy="2322466"/>
        </a:xfrm>
        <a:prstGeom prst="rect">
          <a:avLst/>
        </a:prstGeom>
      </xdr:spPr>
    </xdr:pic>
    <xdr:clientData/>
  </xdr:twoCellAnchor>
  <xdr:twoCellAnchor>
    <xdr:from>
      <xdr:col>1</xdr:col>
      <xdr:colOff>0</xdr:colOff>
      <xdr:row>2</xdr:row>
      <xdr:rowOff>27708</xdr:rowOff>
    </xdr:from>
    <xdr:to>
      <xdr:col>22</xdr:col>
      <xdr:colOff>1399309</xdr:colOff>
      <xdr:row>68</xdr:row>
      <xdr:rowOff>206828</xdr:rowOff>
    </xdr:to>
    <xdr:sp macro="" textlink="">
      <xdr:nvSpPr>
        <xdr:cNvPr id="5" name="Rechthoek 4">
          <a:extLst>
            <a:ext uri="{FF2B5EF4-FFF2-40B4-BE49-F238E27FC236}">
              <a16:creationId xmlns:a16="http://schemas.microsoft.com/office/drawing/2014/main" id="{D9724C78-49A9-4422-8EDE-33F61B9DE7E9}"/>
            </a:ext>
          </a:extLst>
        </xdr:cNvPr>
        <xdr:cNvSpPr/>
      </xdr:nvSpPr>
      <xdr:spPr>
        <a:xfrm>
          <a:off x="1034143" y="1116279"/>
          <a:ext cx="21418137" cy="14472063"/>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1</xdr:col>
      <xdr:colOff>27709</xdr:colOff>
      <xdr:row>68</xdr:row>
      <xdr:rowOff>41564</xdr:rowOff>
    </xdr:from>
    <xdr:to>
      <xdr:col>12</xdr:col>
      <xdr:colOff>665018</xdr:colOff>
      <xdr:row>95</xdr:row>
      <xdr:rowOff>138547</xdr:rowOff>
    </xdr:to>
    <xdr:sp macro="" textlink="">
      <xdr:nvSpPr>
        <xdr:cNvPr id="15" name="Rechthoek 14">
          <a:extLst>
            <a:ext uri="{FF2B5EF4-FFF2-40B4-BE49-F238E27FC236}">
              <a16:creationId xmlns:a16="http://schemas.microsoft.com/office/drawing/2014/main" id="{FBF650AE-44EB-4500-A511-EF6D7880336E}"/>
            </a:ext>
          </a:extLst>
        </xdr:cNvPr>
        <xdr:cNvSpPr/>
      </xdr:nvSpPr>
      <xdr:spPr>
        <a:xfrm>
          <a:off x="1052945" y="15489382"/>
          <a:ext cx="13023273" cy="5708074"/>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l-NL" sz="1100"/>
            <a:t>jkj</a:t>
          </a:r>
        </a:p>
      </xdr:txBody>
    </xdr:sp>
    <xdr:clientData/>
  </xdr:twoCellAnchor>
  <xdr:twoCellAnchor>
    <xdr:from>
      <xdr:col>1</xdr:col>
      <xdr:colOff>55419</xdr:colOff>
      <xdr:row>97</xdr:row>
      <xdr:rowOff>83128</xdr:rowOff>
    </xdr:from>
    <xdr:to>
      <xdr:col>22</xdr:col>
      <xdr:colOff>1357745</xdr:colOff>
      <xdr:row>126</xdr:row>
      <xdr:rowOff>138545</xdr:rowOff>
    </xdr:to>
    <xdr:sp macro="" textlink="">
      <xdr:nvSpPr>
        <xdr:cNvPr id="16" name="Rechthoek 15">
          <a:extLst>
            <a:ext uri="{FF2B5EF4-FFF2-40B4-BE49-F238E27FC236}">
              <a16:creationId xmlns:a16="http://schemas.microsoft.com/office/drawing/2014/main" id="{289C94D0-DA81-4812-B35C-880BB5F2F06A}"/>
            </a:ext>
          </a:extLst>
        </xdr:cNvPr>
        <xdr:cNvSpPr/>
      </xdr:nvSpPr>
      <xdr:spPr>
        <a:xfrm>
          <a:off x="1080655" y="21557673"/>
          <a:ext cx="21349854" cy="6082145"/>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37</xdr:col>
      <xdr:colOff>121920</xdr:colOff>
      <xdr:row>2</xdr:row>
      <xdr:rowOff>11084</xdr:rowOff>
    </xdr:from>
    <xdr:to>
      <xdr:col>45</xdr:col>
      <xdr:colOff>119148</xdr:colOff>
      <xdr:row>126</xdr:row>
      <xdr:rowOff>121920</xdr:rowOff>
    </xdr:to>
    <xdr:sp macro="" textlink="">
      <xdr:nvSpPr>
        <xdr:cNvPr id="17" name="Rechthoek 16">
          <a:extLst>
            <a:ext uri="{FF2B5EF4-FFF2-40B4-BE49-F238E27FC236}">
              <a16:creationId xmlns:a16="http://schemas.microsoft.com/office/drawing/2014/main" id="{221C30B1-11CA-4F16-BAD2-CFF25083EFAE}"/>
            </a:ext>
          </a:extLst>
        </xdr:cNvPr>
        <xdr:cNvSpPr/>
      </xdr:nvSpPr>
      <xdr:spPr>
        <a:xfrm>
          <a:off x="41056560" y="1108364"/>
          <a:ext cx="4874028" cy="27207556"/>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editAs="oneCell">
    <xdr:from>
      <xdr:col>8</xdr:col>
      <xdr:colOff>8962</xdr:colOff>
      <xdr:row>2</xdr:row>
      <xdr:rowOff>51995</xdr:rowOff>
    </xdr:from>
    <xdr:to>
      <xdr:col>12</xdr:col>
      <xdr:colOff>698628</xdr:colOff>
      <xdr:row>4</xdr:row>
      <xdr:rowOff>173915</xdr:rowOff>
    </xdr:to>
    <xdr:pic>
      <xdr:nvPicPr>
        <xdr:cNvPr id="18" name="Afbeelding 17">
          <a:extLst>
            <a:ext uri="{FF2B5EF4-FFF2-40B4-BE49-F238E27FC236}">
              <a16:creationId xmlns:a16="http://schemas.microsoft.com/office/drawing/2014/main" id="{9998EA50-A678-4ABA-9CB2-DF12295913C3}"/>
            </a:ext>
          </a:extLst>
        </xdr:cNvPr>
        <xdr:cNvPicPr>
          <a:picLocks noChangeAspect="1"/>
        </xdr:cNvPicPr>
      </xdr:nvPicPr>
      <xdr:blipFill rotWithShape="1">
        <a:blip xmlns:r="http://schemas.openxmlformats.org/officeDocument/2006/relationships" r:embed="rId8"/>
        <a:srcRect b="27721"/>
        <a:stretch/>
      </xdr:blipFill>
      <xdr:spPr>
        <a:xfrm>
          <a:off x="10341682" y="1149275"/>
          <a:ext cx="3768146" cy="1188720"/>
        </a:xfrm>
        <a:prstGeom prst="rect">
          <a:avLst/>
        </a:prstGeom>
        <a:solidFill>
          <a:srgbClr val="FFFFFF">
            <a:alpha val="1961"/>
          </a:srgbClr>
        </a:solid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2066</xdr:col>
      <xdr:colOff>332508</xdr:colOff>
      <xdr:row>140</xdr:row>
      <xdr:rowOff>110837</xdr:rowOff>
    </xdr:to>
    <xdr:grpSp>
      <xdr:nvGrpSpPr>
        <xdr:cNvPr id="79" name="Groep 78">
          <a:extLst>
            <a:ext uri="{FF2B5EF4-FFF2-40B4-BE49-F238E27FC236}">
              <a16:creationId xmlns:a16="http://schemas.microsoft.com/office/drawing/2014/main" id="{AA0BC79B-5B5C-4821-B546-31165330DBD0}"/>
            </a:ext>
          </a:extLst>
        </xdr:cNvPr>
        <xdr:cNvGrpSpPr/>
      </xdr:nvGrpSpPr>
      <xdr:grpSpPr>
        <a:xfrm>
          <a:off x="0" y="0"/>
          <a:ext cx="1244553817" cy="30452292"/>
          <a:chOff x="0" y="0"/>
          <a:chExt cx="1242447926" cy="30452292"/>
        </a:xfrm>
      </xdr:grpSpPr>
      <xdr:grpSp>
        <xdr:nvGrpSpPr>
          <xdr:cNvPr id="73" name="Groep 72">
            <a:extLst>
              <a:ext uri="{FF2B5EF4-FFF2-40B4-BE49-F238E27FC236}">
                <a16:creationId xmlns:a16="http://schemas.microsoft.com/office/drawing/2014/main" id="{1C6CCE87-3CCD-4D0D-9ED5-1CF7A6C56155}"/>
              </a:ext>
            </a:extLst>
          </xdr:cNvPr>
          <xdr:cNvGrpSpPr/>
        </xdr:nvGrpSpPr>
        <xdr:grpSpPr>
          <a:xfrm>
            <a:off x="0" y="0"/>
            <a:ext cx="1242447926" cy="29496327"/>
            <a:chOff x="1" y="0"/>
            <a:chExt cx="1246050108" cy="30020325"/>
          </a:xfrm>
          <a:solidFill>
            <a:srgbClr val="FFFFFF"/>
          </a:solidFill>
        </xdr:grpSpPr>
        <xdr:sp macro="" textlink="">
          <xdr:nvSpPr>
            <xdr:cNvPr id="71" name="Rechthoek 70">
              <a:extLst>
                <a:ext uri="{FF2B5EF4-FFF2-40B4-BE49-F238E27FC236}">
                  <a16:creationId xmlns:a16="http://schemas.microsoft.com/office/drawing/2014/main" id="{16DC57C0-2385-412E-A616-221CF17C96F6}"/>
                </a:ext>
              </a:extLst>
            </xdr:cNvPr>
            <xdr:cNvSpPr/>
          </xdr:nvSpPr>
          <xdr:spPr>
            <a:xfrm>
              <a:off x="986526" y="19283310"/>
              <a:ext cx="20453018" cy="6619619"/>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2" name="Tekstvak 1">
              <a:extLst>
                <a:ext uri="{FF2B5EF4-FFF2-40B4-BE49-F238E27FC236}">
                  <a16:creationId xmlns:a16="http://schemas.microsoft.com/office/drawing/2014/main" id="{EEB6F092-34BD-4EF6-B9D3-B4F03CFF9ABA}"/>
                </a:ext>
              </a:extLst>
            </xdr:cNvPr>
            <xdr:cNvSpPr txBox="1"/>
          </xdr:nvSpPr>
          <xdr:spPr>
            <a:xfrm>
              <a:off x="19964400" y="16078200"/>
              <a:ext cx="184731" cy="264560"/>
            </a:xfrm>
            <a:prstGeom prst="rect">
              <a:avLst/>
            </a:prstGeom>
            <a:grp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nl-NL" sz="1100"/>
            </a:p>
          </xdr:txBody>
        </xdr:sp>
        <xdr:sp macro="" textlink="">
          <xdr:nvSpPr>
            <xdr:cNvPr id="3" name="Tekstvak 2">
              <a:extLst>
                <a:ext uri="{FF2B5EF4-FFF2-40B4-BE49-F238E27FC236}">
                  <a16:creationId xmlns:a16="http://schemas.microsoft.com/office/drawing/2014/main" id="{0B6EE818-1AFF-4614-BAC6-9E1FBED55AB8}"/>
                </a:ext>
              </a:extLst>
            </xdr:cNvPr>
            <xdr:cNvSpPr txBox="1"/>
          </xdr:nvSpPr>
          <xdr:spPr>
            <a:xfrm>
              <a:off x="1236694567" y="13735049"/>
              <a:ext cx="1262062" cy="805816"/>
            </a:xfrm>
            <a:prstGeom prst="rect">
              <a:avLst/>
            </a:prstGeom>
            <a:grp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nl-NL" sz="4000"/>
            </a:p>
          </xdr:txBody>
        </xdr:sp>
        <xdr:sp macro="" textlink="">
          <xdr:nvSpPr>
            <xdr:cNvPr id="4" name="Rechthoek 3">
              <a:extLst>
                <a:ext uri="{FF2B5EF4-FFF2-40B4-BE49-F238E27FC236}">
                  <a16:creationId xmlns:a16="http://schemas.microsoft.com/office/drawing/2014/main" id="{BA9A69EC-67C7-4F1B-A562-532EA6A66246}"/>
                </a:ext>
              </a:extLst>
            </xdr:cNvPr>
            <xdr:cNvSpPr/>
          </xdr:nvSpPr>
          <xdr:spPr>
            <a:xfrm>
              <a:off x="46256864" y="16110929"/>
              <a:ext cx="5668069" cy="16107"/>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aphicFrame macro="">
          <xdr:nvGraphicFramePr>
            <xdr:cNvPr id="5" name="Grafiek 4">
              <a:extLst>
                <a:ext uri="{FF2B5EF4-FFF2-40B4-BE49-F238E27FC236}">
                  <a16:creationId xmlns:a16="http://schemas.microsoft.com/office/drawing/2014/main" id="{898DFCFA-9DD3-479B-B712-5D6AE78778CE}"/>
                </a:ext>
              </a:extLst>
            </xdr:cNvPr>
            <xdr:cNvGraphicFramePr>
              <a:graphicFrameLocks/>
            </xdr:cNvGraphicFramePr>
          </xdr:nvGraphicFramePr>
          <xdr:xfrm>
            <a:off x="1084877" y="4914900"/>
            <a:ext cx="6004905" cy="9753600"/>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6" name="Rechthoek 5">
              <a:extLst>
                <a:ext uri="{FF2B5EF4-FFF2-40B4-BE49-F238E27FC236}">
                  <a16:creationId xmlns:a16="http://schemas.microsoft.com/office/drawing/2014/main" id="{67B4A02F-79D7-42F2-B3C3-6A15B39EE2A2}"/>
                </a:ext>
              </a:extLst>
            </xdr:cNvPr>
            <xdr:cNvSpPr/>
          </xdr:nvSpPr>
          <xdr:spPr>
            <a:xfrm>
              <a:off x="20894634" y="4724400"/>
              <a:ext cx="2907476" cy="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aphicFrame macro="">
          <xdr:nvGraphicFramePr>
            <xdr:cNvPr id="7" name="Grafiek 6">
              <a:extLst>
                <a:ext uri="{FF2B5EF4-FFF2-40B4-BE49-F238E27FC236}">
                  <a16:creationId xmlns:a16="http://schemas.microsoft.com/office/drawing/2014/main" id="{CE93D11F-C50D-47C7-A315-4FA1E6EC3417}"/>
                </a:ext>
              </a:extLst>
            </xdr:cNvPr>
            <xdr:cNvGraphicFramePr>
              <a:graphicFrameLocks/>
            </xdr:cNvGraphicFramePr>
          </xdr:nvGraphicFramePr>
          <xdr:xfrm>
            <a:off x="41601390" y="5394961"/>
            <a:ext cx="6038850" cy="6797041"/>
          </xdr:xfrm>
          <a:graphic>
            <a:graphicData uri="http://schemas.openxmlformats.org/drawingml/2006/chart">
              <c:chart xmlns:c="http://schemas.openxmlformats.org/drawingml/2006/chart" xmlns:r="http://schemas.openxmlformats.org/officeDocument/2006/relationships" r:id="rId2"/>
            </a:graphicData>
          </a:graphic>
        </xdr:graphicFrame>
        <xdr:graphicFrame macro="">
          <xdr:nvGraphicFramePr>
            <xdr:cNvPr id="8" name="Grafiek 7">
              <a:extLst>
                <a:ext uri="{FF2B5EF4-FFF2-40B4-BE49-F238E27FC236}">
                  <a16:creationId xmlns:a16="http://schemas.microsoft.com/office/drawing/2014/main" id="{B2E69110-8425-468C-BA0B-937DE12D0834}"/>
                </a:ext>
              </a:extLst>
            </xdr:cNvPr>
            <xdr:cNvGraphicFramePr>
              <a:graphicFrameLocks/>
            </xdr:cNvGraphicFramePr>
          </xdr:nvGraphicFramePr>
          <xdr:xfrm>
            <a:off x="1029377" y="14820900"/>
            <a:ext cx="6096000" cy="4698422"/>
          </xdr:xfrm>
          <a:graphic>
            <a:graphicData uri="http://schemas.openxmlformats.org/drawingml/2006/chart">
              <c:chart xmlns:c="http://schemas.openxmlformats.org/drawingml/2006/chart" xmlns:r="http://schemas.openxmlformats.org/officeDocument/2006/relationships" r:id="rId3"/>
            </a:graphicData>
          </a:graphic>
        </xdr:graphicFrame>
        <xdr:pic>
          <xdr:nvPicPr>
            <xdr:cNvPr id="9" name="Afbeelding 8">
              <a:extLst>
                <a:ext uri="{FF2B5EF4-FFF2-40B4-BE49-F238E27FC236}">
                  <a16:creationId xmlns:a16="http://schemas.microsoft.com/office/drawing/2014/main" id="{35258527-D1E0-4E08-A113-EB1D0C7A580D}"/>
                </a:ext>
              </a:extLst>
            </xdr:cNvPr>
            <xdr:cNvPicPr>
              <a:picLocks noChangeAspect="1"/>
            </xdr:cNvPicPr>
          </xdr:nvPicPr>
          <xdr:blipFill rotWithShape="1">
            <a:blip xmlns:r="http://schemas.openxmlformats.org/officeDocument/2006/relationships" r:embed="rId4"/>
            <a:srcRect b="27721"/>
            <a:stretch/>
          </xdr:blipFill>
          <xdr:spPr>
            <a:xfrm>
              <a:off x="7544763" y="1128900"/>
              <a:ext cx="2567043" cy="796702"/>
            </a:xfrm>
            <a:prstGeom prst="rect">
              <a:avLst/>
            </a:prstGeom>
            <a:grpFill/>
            <a:ln>
              <a:noFill/>
            </a:ln>
          </xdr:spPr>
        </xdr:pic>
        <xdr:sp macro="" textlink="">
          <xdr:nvSpPr>
            <xdr:cNvPr id="26" name="Rechthoek 25">
              <a:extLst>
                <a:ext uri="{FF2B5EF4-FFF2-40B4-BE49-F238E27FC236}">
                  <a16:creationId xmlns:a16="http://schemas.microsoft.com/office/drawing/2014/main" id="{DDD281B1-1B96-4B92-AF03-729CECFFC7AD}"/>
                </a:ext>
              </a:extLst>
            </xdr:cNvPr>
            <xdr:cNvSpPr/>
          </xdr:nvSpPr>
          <xdr:spPr>
            <a:xfrm>
              <a:off x="1235659200" y="0"/>
              <a:ext cx="10390909" cy="2182783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nvGrpSpPr>
            <xdr:cNvPr id="46" name="Groep 45">
              <a:extLst>
                <a:ext uri="{FF2B5EF4-FFF2-40B4-BE49-F238E27FC236}">
                  <a16:creationId xmlns:a16="http://schemas.microsoft.com/office/drawing/2014/main" id="{54FF4159-E3C1-416E-8A4F-199E6E2E1F96}"/>
                </a:ext>
              </a:extLst>
            </xdr:cNvPr>
            <xdr:cNvGrpSpPr/>
          </xdr:nvGrpSpPr>
          <xdr:grpSpPr>
            <a:xfrm>
              <a:off x="1" y="0"/>
              <a:ext cx="51175919" cy="30020325"/>
              <a:chOff x="1" y="0"/>
              <a:chExt cx="50652217" cy="29455997"/>
            </a:xfrm>
            <a:grpFill/>
          </xdr:grpSpPr>
          <xdr:sp macro="" textlink="">
            <xdr:nvSpPr>
              <xdr:cNvPr id="47" name="Rechthoek 46">
                <a:extLst>
                  <a:ext uri="{FF2B5EF4-FFF2-40B4-BE49-F238E27FC236}">
                    <a16:creationId xmlns:a16="http://schemas.microsoft.com/office/drawing/2014/main" id="{0780D4F0-D215-4397-8E87-9BE754239A2F}"/>
                  </a:ext>
                </a:extLst>
              </xdr:cNvPr>
              <xdr:cNvSpPr/>
            </xdr:nvSpPr>
            <xdr:spPr>
              <a:xfrm>
                <a:off x="28275189" y="0"/>
                <a:ext cx="22377029" cy="2133322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marL="0" indent="0" algn="l"/>
                <a:endParaRPr lang="nl-NL" sz="1100">
                  <a:solidFill>
                    <a:schemeClr val="lt1"/>
                  </a:solidFill>
                  <a:latin typeface="+mn-lt"/>
                  <a:ea typeface="+mn-ea"/>
                  <a:cs typeface="+mn-cs"/>
                </a:endParaRPr>
              </a:p>
            </xdr:txBody>
          </xdr:sp>
          <xdr:sp macro="" textlink="">
            <xdr:nvSpPr>
              <xdr:cNvPr id="49" name="Rechthoek 48">
                <a:extLst>
                  <a:ext uri="{FF2B5EF4-FFF2-40B4-BE49-F238E27FC236}">
                    <a16:creationId xmlns:a16="http://schemas.microsoft.com/office/drawing/2014/main" id="{92D10689-C0D8-48C2-B679-A54C32F81082}"/>
                  </a:ext>
                </a:extLst>
              </xdr:cNvPr>
              <xdr:cNvSpPr/>
            </xdr:nvSpPr>
            <xdr:spPr>
              <a:xfrm>
                <a:off x="1" y="0"/>
                <a:ext cx="948923" cy="29455997"/>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0" name="Rechthoek 49">
                <a:extLst>
                  <a:ext uri="{FF2B5EF4-FFF2-40B4-BE49-F238E27FC236}">
                    <a16:creationId xmlns:a16="http://schemas.microsoft.com/office/drawing/2014/main" id="{1233BE84-FDF6-4C92-823F-9228D934BC41}"/>
                  </a:ext>
                </a:extLst>
              </xdr:cNvPr>
              <xdr:cNvSpPr/>
            </xdr:nvSpPr>
            <xdr:spPr>
              <a:xfrm>
                <a:off x="21333130" y="1904220"/>
                <a:ext cx="7082444" cy="3657691"/>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3" name="Rechthoek 52">
                <a:extLst>
                  <a:ext uri="{FF2B5EF4-FFF2-40B4-BE49-F238E27FC236}">
                    <a16:creationId xmlns:a16="http://schemas.microsoft.com/office/drawing/2014/main" id="{642CE7B8-8E17-4E4D-A387-A0A53E6B6271}"/>
                  </a:ext>
                </a:extLst>
              </xdr:cNvPr>
              <xdr:cNvSpPr/>
            </xdr:nvSpPr>
            <xdr:spPr>
              <a:xfrm>
                <a:off x="10040789" y="6779722"/>
                <a:ext cx="9441180" cy="205740"/>
              </a:xfrm>
              <a:prstGeom prst="rect">
                <a:avLst/>
              </a:prstGeom>
              <a:solidFill>
                <a:srgbClr val="000000">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4" name="Rechthoek 53">
                <a:extLst>
                  <a:ext uri="{FF2B5EF4-FFF2-40B4-BE49-F238E27FC236}">
                    <a16:creationId xmlns:a16="http://schemas.microsoft.com/office/drawing/2014/main" id="{1D7B1E4F-0983-476E-B0C7-3E61ED0F63F6}"/>
                  </a:ext>
                </a:extLst>
              </xdr:cNvPr>
              <xdr:cNvSpPr/>
            </xdr:nvSpPr>
            <xdr:spPr>
              <a:xfrm>
                <a:off x="10023480" y="7615863"/>
                <a:ext cx="9441180" cy="205740"/>
              </a:xfrm>
              <a:prstGeom prst="rect">
                <a:avLst/>
              </a:prstGeom>
              <a:solidFill>
                <a:srgbClr val="000000">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5" name="Rechthoek 54">
                <a:extLst>
                  <a:ext uri="{FF2B5EF4-FFF2-40B4-BE49-F238E27FC236}">
                    <a16:creationId xmlns:a16="http://schemas.microsoft.com/office/drawing/2014/main" id="{A1A45C83-06A0-4140-9F12-D2F1D0C3F8C0}"/>
                  </a:ext>
                </a:extLst>
              </xdr:cNvPr>
              <xdr:cNvSpPr/>
            </xdr:nvSpPr>
            <xdr:spPr>
              <a:xfrm>
                <a:off x="9902554" y="9599852"/>
                <a:ext cx="9441180" cy="205740"/>
              </a:xfrm>
              <a:prstGeom prst="rect">
                <a:avLst/>
              </a:prstGeom>
              <a:solidFill>
                <a:srgbClr val="000000">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6" name="Rechthoek 55">
                <a:extLst>
                  <a:ext uri="{FF2B5EF4-FFF2-40B4-BE49-F238E27FC236}">
                    <a16:creationId xmlns:a16="http://schemas.microsoft.com/office/drawing/2014/main" id="{DD1E002B-D4EA-411F-AA7D-29A0EF1CE410}"/>
                  </a:ext>
                </a:extLst>
              </xdr:cNvPr>
              <xdr:cNvSpPr/>
            </xdr:nvSpPr>
            <xdr:spPr>
              <a:xfrm>
                <a:off x="10000309" y="11044900"/>
                <a:ext cx="9441180" cy="205740"/>
              </a:xfrm>
              <a:prstGeom prst="rect">
                <a:avLst/>
              </a:prstGeom>
              <a:solidFill>
                <a:srgbClr val="000000">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7" name="Rechthoek 56">
                <a:extLst>
                  <a:ext uri="{FF2B5EF4-FFF2-40B4-BE49-F238E27FC236}">
                    <a16:creationId xmlns:a16="http://schemas.microsoft.com/office/drawing/2014/main" id="{92C8AADF-E614-4968-9066-1AB371B27F74}"/>
                  </a:ext>
                </a:extLst>
              </xdr:cNvPr>
              <xdr:cNvSpPr/>
            </xdr:nvSpPr>
            <xdr:spPr>
              <a:xfrm>
                <a:off x="9991329" y="11870649"/>
                <a:ext cx="9441180" cy="205740"/>
              </a:xfrm>
              <a:prstGeom prst="rect">
                <a:avLst/>
              </a:prstGeom>
              <a:solidFill>
                <a:srgbClr val="000000">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8" name="Rechthoek 57">
                <a:extLst>
                  <a:ext uri="{FF2B5EF4-FFF2-40B4-BE49-F238E27FC236}">
                    <a16:creationId xmlns:a16="http://schemas.microsoft.com/office/drawing/2014/main" id="{E7485130-C0DC-4A79-BF86-8B44B6D34806}"/>
                  </a:ext>
                </a:extLst>
              </xdr:cNvPr>
              <xdr:cNvSpPr/>
            </xdr:nvSpPr>
            <xdr:spPr>
              <a:xfrm>
                <a:off x="10106836" y="12676908"/>
                <a:ext cx="9441180" cy="205740"/>
              </a:xfrm>
              <a:prstGeom prst="rect">
                <a:avLst/>
              </a:prstGeom>
              <a:solidFill>
                <a:srgbClr val="000000">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9" name="Rechthoek 58">
                <a:extLst>
                  <a:ext uri="{FF2B5EF4-FFF2-40B4-BE49-F238E27FC236}">
                    <a16:creationId xmlns:a16="http://schemas.microsoft.com/office/drawing/2014/main" id="{912ABCB1-A80C-46E8-A2BE-B5F9C8FC4087}"/>
                  </a:ext>
                </a:extLst>
              </xdr:cNvPr>
              <xdr:cNvSpPr/>
            </xdr:nvSpPr>
            <xdr:spPr>
              <a:xfrm>
                <a:off x="10012696" y="13953642"/>
                <a:ext cx="9441180" cy="205740"/>
              </a:xfrm>
              <a:prstGeom prst="rect">
                <a:avLst/>
              </a:prstGeom>
              <a:solidFill>
                <a:srgbClr val="000000">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60" name="Rechthoek 59">
                <a:extLst>
                  <a:ext uri="{FF2B5EF4-FFF2-40B4-BE49-F238E27FC236}">
                    <a16:creationId xmlns:a16="http://schemas.microsoft.com/office/drawing/2014/main" id="{5CDC4D61-F27A-43B9-9E4A-C82D145B6A45}"/>
                  </a:ext>
                </a:extLst>
              </xdr:cNvPr>
              <xdr:cNvSpPr/>
            </xdr:nvSpPr>
            <xdr:spPr>
              <a:xfrm>
                <a:off x="10006053" y="15131261"/>
                <a:ext cx="9441180" cy="1127760"/>
              </a:xfrm>
              <a:prstGeom prst="rect">
                <a:avLst/>
              </a:prstGeom>
              <a:solidFill>
                <a:srgbClr val="000000">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61" name="Rechthoek 60">
                <a:extLst>
                  <a:ext uri="{FF2B5EF4-FFF2-40B4-BE49-F238E27FC236}">
                    <a16:creationId xmlns:a16="http://schemas.microsoft.com/office/drawing/2014/main" id="{4E003511-92EF-48F6-9713-7E1910755455}"/>
                  </a:ext>
                </a:extLst>
              </xdr:cNvPr>
              <xdr:cNvSpPr/>
            </xdr:nvSpPr>
            <xdr:spPr>
              <a:xfrm>
                <a:off x="10026067" y="16865599"/>
                <a:ext cx="9441180" cy="369435"/>
              </a:xfrm>
              <a:prstGeom prst="rect">
                <a:avLst/>
              </a:prstGeom>
              <a:solidFill>
                <a:srgbClr val="000000">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64" name="Rechthoek 63">
                <a:extLst>
                  <a:ext uri="{FF2B5EF4-FFF2-40B4-BE49-F238E27FC236}">
                    <a16:creationId xmlns:a16="http://schemas.microsoft.com/office/drawing/2014/main" id="{434B700B-5FE5-491C-8084-FEE8E7BE1EE1}"/>
                  </a:ext>
                </a:extLst>
              </xdr:cNvPr>
              <xdr:cNvSpPr/>
            </xdr:nvSpPr>
            <xdr:spPr>
              <a:xfrm>
                <a:off x="10142220" y="14758549"/>
                <a:ext cx="9441180" cy="99060"/>
              </a:xfrm>
              <a:prstGeom prst="rect">
                <a:avLst/>
              </a:prstGeom>
              <a:solidFill>
                <a:srgbClr val="000000">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sp macro="" textlink="">
          <xdr:nvSpPr>
            <xdr:cNvPr id="70" name="Rechthoek 69">
              <a:extLst>
                <a:ext uri="{FF2B5EF4-FFF2-40B4-BE49-F238E27FC236}">
                  <a16:creationId xmlns:a16="http://schemas.microsoft.com/office/drawing/2014/main" id="{97F4360C-66CC-45DC-A12F-2B8BC6634846}"/>
                </a:ext>
              </a:extLst>
            </xdr:cNvPr>
            <xdr:cNvSpPr/>
          </xdr:nvSpPr>
          <xdr:spPr>
            <a:xfrm>
              <a:off x="10057154" y="18119361"/>
              <a:ext cx="9476510" cy="352517"/>
            </a:xfrm>
            <a:prstGeom prst="rect">
              <a:avLst/>
            </a:prstGeom>
            <a:solidFill>
              <a:srgbClr val="000000">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sp macro="" textlink="">
        <xdr:nvSpPr>
          <xdr:cNvPr id="74" name="Rechthoek 73">
            <a:extLst>
              <a:ext uri="{FF2B5EF4-FFF2-40B4-BE49-F238E27FC236}">
                <a16:creationId xmlns:a16="http://schemas.microsoft.com/office/drawing/2014/main" id="{DB8636FA-E8C6-4C64-95CD-572BFE458B17}"/>
              </a:ext>
            </a:extLst>
          </xdr:cNvPr>
          <xdr:cNvSpPr/>
        </xdr:nvSpPr>
        <xdr:spPr>
          <a:xfrm>
            <a:off x="595745" y="886691"/>
            <a:ext cx="9545782" cy="29565601"/>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75" name="Rechthoek 74">
            <a:extLst>
              <a:ext uri="{FF2B5EF4-FFF2-40B4-BE49-F238E27FC236}">
                <a16:creationId xmlns:a16="http://schemas.microsoft.com/office/drawing/2014/main" id="{A42CFB32-6EC6-401F-9ACE-0572F383BB6C}"/>
              </a:ext>
            </a:extLst>
          </xdr:cNvPr>
          <xdr:cNvSpPr/>
        </xdr:nvSpPr>
        <xdr:spPr>
          <a:xfrm>
            <a:off x="10016832" y="1066805"/>
            <a:ext cx="9393382" cy="1911924"/>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76" name="Rechthoek 75">
            <a:extLst>
              <a:ext uri="{FF2B5EF4-FFF2-40B4-BE49-F238E27FC236}">
                <a16:creationId xmlns:a16="http://schemas.microsoft.com/office/drawing/2014/main" id="{5BDEF7A5-B13E-49D5-BE8E-AAD4BFC679D6}"/>
              </a:ext>
            </a:extLst>
          </xdr:cNvPr>
          <xdr:cNvSpPr/>
        </xdr:nvSpPr>
        <xdr:spPr>
          <a:xfrm>
            <a:off x="10086109" y="3311233"/>
            <a:ext cx="9393382" cy="193964"/>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77" name="Rechthoek 76">
            <a:extLst>
              <a:ext uri="{FF2B5EF4-FFF2-40B4-BE49-F238E27FC236}">
                <a16:creationId xmlns:a16="http://schemas.microsoft.com/office/drawing/2014/main" id="{65BDD386-D280-4B7D-A686-A9592EF07A53}"/>
              </a:ext>
            </a:extLst>
          </xdr:cNvPr>
          <xdr:cNvSpPr/>
        </xdr:nvSpPr>
        <xdr:spPr>
          <a:xfrm>
            <a:off x="10030691" y="4267200"/>
            <a:ext cx="9393382" cy="1343891"/>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78" name="Rechthoek 77">
            <a:extLst>
              <a:ext uri="{FF2B5EF4-FFF2-40B4-BE49-F238E27FC236}">
                <a16:creationId xmlns:a16="http://schemas.microsoft.com/office/drawing/2014/main" id="{FDAE3B78-1C16-4215-9A97-74624BC18F65}"/>
              </a:ext>
            </a:extLst>
          </xdr:cNvPr>
          <xdr:cNvSpPr/>
        </xdr:nvSpPr>
        <xdr:spPr>
          <a:xfrm>
            <a:off x="19493345" y="900547"/>
            <a:ext cx="1828799" cy="20421597"/>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clientData/>
  </xdr:twoCellAnchor>
  <xdr:twoCellAnchor>
    <xdr:from>
      <xdr:col>42</xdr:col>
      <xdr:colOff>110837</xdr:colOff>
      <xdr:row>21</xdr:row>
      <xdr:rowOff>568037</xdr:rowOff>
    </xdr:from>
    <xdr:to>
      <xdr:col>43</xdr:col>
      <xdr:colOff>13856</xdr:colOff>
      <xdr:row>87</xdr:row>
      <xdr:rowOff>138547</xdr:rowOff>
    </xdr:to>
    <xdr:sp macro="" textlink="">
      <xdr:nvSpPr>
        <xdr:cNvPr id="80" name="Rechthoek 79">
          <a:extLst>
            <a:ext uri="{FF2B5EF4-FFF2-40B4-BE49-F238E27FC236}">
              <a16:creationId xmlns:a16="http://schemas.microsoft.com/office/drawing/2014/main" id="{B7CFEA4A-30BD-41A9-8491-EC8DC0E57DDA}"/>
            </a:ext>
          </a:extLst>
        </xdr:cNvPr>
        <xdr:cNvSpPr/>
      </xdr:nvSpPr>
      <xdr:spPr>
        <a:xfrm>
          <a:off x="23580437" y="5306292"/>
          <a:ext cx="290946" cy="15544800"/>
        </a:xfrm>
        <a:prstGeom prst="rect">
          <a:avLst/>
        </a:prstGeom>
        <a:solidFill>
          <a:srgbClr val="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wsDr>
</file>

<file path=xl/drawings/drawing6.xml><?xml version="1.0" encoding="utf-8"?>
<xdr:wsDr xmlns:xdr="http://schemas.openxmlformats.org/drawingml/2006/spreadsheetDrawing" xmlns:a="http://schemas.openxmlformats.org/drawingml/2006/main">
  <xdr:oneCellAnchor>
    <xdr:from>
      <xdr:col>29</xdr:col>
      <xdr:colOff>120967</xdr:colOff>
      <xdr:row>49</xdr:row>
      <xdr:rowOff>170497</xdr:rowOff>
    </xdr:from>
    <xdr:ext cx="184731" cy="264560"/>
    <xdr:sp macro="" textlink="">
      <xdr:nvSpPr>
        <xdr:cNvPr id="2" name="Tekstvak 1">
          <a:extLst>
            <a:ext uri="{FF2B5EF4-FFF2-40B4-BE49-F238E27FC236}">
              <a16:creationId xmlns:a16="http://schemas.microsoft.com/office/drawing/2014/main" id="{93757278-C06C-4915-AAAD-83CCA987EC89}"/>
            </a:ext>
          </a:extLst>
        </xdr:cNvPr>
        <xdr:cNvSpPr txBox="1"/>
      </xdr:nvSpPr>
      <xdr:spPr>
        <a:xfrm>
          <a:off x="19560540" y="15270480"/>
          <a:ext cx="184731" cy="264560"/>
        </a:xfrm>
        <a:prstGeom prst="rect">
          <a:avLst/>
        </a:prstGeom>
        <a:solidFill>
          <a:srgbClr val="FFFFFF">
            <a:alpha val="1961"/>
          </a:srgbClr>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nl-NL" sz="1100"/>
        </a:p>
      </xdr:txBody>
    </xdr:sp>
    <xdr:clientData/>
  </xdr:oneCellAnchor>
  <xdr:oneCellAnchor>
    <xdr:from>
      <xdr:col>2024</xdr:col>
      <xdr:colOff>357187</xdr:colOff>
      <xdr:row>38</xdr:row>
      <xdr:rowOff>95249</xdr:rowOff>
    </xdr:from>
    <xdr:ext cx="1262062" cy="805816"/>
    <xdr:sp macro="" textlink="">
      <xdr:nvSpPr>
        <xdr:cNvPr id="3" name="Tekstvak 2">
          <a:extLst>
            <a:ext uri="{FF2B5EF4-FFF2-40B4-BE49-F238E27FC236}">
              <a16:creationId xmlns:a16="http://schemas.microsoft.com/office/drawing/2014/main" id="{A97E4898-FC4A-4BFB-BB6E-8AF13939FC21}"/>
            </a:ext>
          </a:extLst>
        </xdr:cNvPr>
        <xdr:cNvSpPr txBox="1"/>
      </xdr:nvSpPr>
      <xdr:spPr>
        <a:xfrm>
          <a:off x="1236062107" y="13072109"/>
          <a:ext cx="1262062" cy="805816"/>
        </a:xfrm>
        <a:prstGeom prst="rect">
          <a:avLst/>
        </a:prstGeom>
        <a:solidFill>
          <a:srgbClr val="FFFFFF">
            <a:alpha val="1961"/>
          </a:srgbClr>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nl-NL" sz="4000"/>
        </a:p>
      </xdr:txBody>
    </xdr:sp>
    <xdr:clientData/>
  </xdr:oneCellAnchor>
  <xdr:twoCellAnchor>
    <xdr:from>
      <xdr:col>69</xdr:col>
      <xdr:colOff>536864</xdr:colOff>
      <xdr:row>44</xdr:row>
      <xdr:rowOff>809969</xdr:rowOff>
    </xdr:from>
    <xdr:to>
      <xdr:col>79</xdr:col>
      <xdr:colOff>108933</xdr:colOff>
      <xdr:row>62</xdr:row>
      <xdr:rowOff>48836</xdr:rowOff>
    </xdr:to>
    <xdr:sp macro="" textlink="">
      <xdr:nvSpPr>
        <xdr:cNvPr id="4" name="Rechthoek 3">
          <a:extLst>
            <a:ext uri="{FF2B5EF4-FFF2-40B4-BE49-F238E27FC236}">
              <a16:creationId xmlns:a16="http://schemas.microsoft.com/office/drawing/2014/main" id="{C2446832-6B27-472F-92DC-D6FC04FF492D}"/>
            </a:ext>
          </a:extLst>
        </xdr:cNvPr>
        <xdr:cNvSpPr/>
      </xdr:nvSpPr>
      <xdr:spPr>
        <a:xfrm>
          <a:off x="45685364" y="15272729"/>
          <a:ext cx="5668069" cy="46587"/>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9</xdr:col>
      <xdr:colOff>46760</xdr:colOff>
      <xdr:row>20</xdr:row>
      <xdr:rowOff>190500</xdr:rowOff>
    </xdr:from>
    <xdr:to>
      <xdr:col>9</xdr:col>
      <xdr:colOff>6051665</xdr:colOff>
      <xdr:row>39</xdr:row>
      <xdr:rowOff>495300</xdr:rowOff>
    </xdr:to>
    <xdr:graphicFrame macro="">
      <xdr:nvGraphicFramePr>
        <xdr:cNvPr id="5" name="Grafiek 4">
          <a:extLst>
            <a:ext uri="{FF2B5EF4-FFF2-40B4-BE49-F238E27FC236}">
              <a16:creationId xmlns:a16="http://schemas.microsoft.com/office/drawing/2014/main" id="{FDA0B0F1-18A7-45FB-8A10-C7341265BD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37</xdr:col>
      <xdr:colOff>930234</xdr:colOff>
      <xdr:row>18</xdr:row>
      <xdr:rowOff>0</xdr:rowOff>
    </xdr:from>
    <xdr:to>
      <xdr:col>42</xdr:col>
      <xdr:colOff>27710</xdr:colOff>
      <xdr:row>19</xdr:row>
      <xdr:rowOff>110837</xdr:rowOff>
    </xdr:to>
    <xdr:sp macro="" textlink="">
      <xdr:nvSpPr>
        <xdr:cNvPr id="6" name="Rechthoek 5">
          <a:extLst>
            <a:ext uri="{FF2B5EF4-FFF2-40B4-BE49-F238E27FC236}">
              <a16:creationId xmlns:a16="http://schemas.microsoft.com/office/drawing/2014/main" id="{1FB9B5F7-D250-40E0-AB93-2E5423565D37}"/>
            </a:ext>
          </a:extLst>
        </xdr:cNvPr>
        <xdr:cNvSpPr/>
      </xdr:nvSpPr>
      <xdr:spPr>
        <a:xfrm>
          <a:off x="20490774" y="4450080"/>
          <a:ext cx="2869376" cy="0"/>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57</xdr:col>
      <xdr:colOff>148590</xdr:colOff>
      <xdr:row>21</xdr:row>
      <xdr:rowOff>365761</xdr:rowOff>
    </xdr:from>
    <xdr:to>
      <xdr:col>72</xdr:col>
      <xdr:colOff>91440</xdr:colOff>
      <xdr:row>34</xdr:row>
      <xdr:rowOff>304802</xdr:rowOff>
    </xdr:to>
    <xdr:graphicFrame macro="">
      <xdr:nvGraphicFramePr>
        <xdr:cNvPr id="7" name="Grafiek 6">
          <a:extLst>
            <a:ext uri="{FF2B5EF4-FFF2-40B4-BE49-F238E27FC236}">
              <a16:creationId xmlns:a16="http://schemas.microsoft.com/office/drawing/2014/main" id="{E77F4267-4733-43B1-8A3E-79217E2EE9A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19050</xdr:colOff>
      <xdr:row>40</xdr:row>
      <xdr:rowOff>114300</xdr:rowOff>
    </xdr:from>
    <xdr:to>
      <xdr:col>9</xdr:col>
      <xdr:colOff>6115050</xdr:colOff>
      <xdr:row>77</xdr:row>
      <xdr:rowOff>12122</xdr:rowOff>
    </xdr:to>
    <xdr:graphicFrame macro="">
      <xdr:nvGraphicFramePr>
        <xdr:cNvPr id="8" name="Grafiek 7">
          <a:extLst>
            <a:ext uri="{FF2B5EF4-FFF2-40B4-BE49-F238E27FC236}">
              <a16:creationId xmlns:a16="http://schemas.microsoft.com/office/drawing/2014/main" id="{9F3E3427-E93B-41DE-86DC-ACC7562BB9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2020</xdr:col>
      <xdr:colOff>0</xdr:colOff>
      <xdr:row>0</xdr:row>
      <xdr:rowOff>0</xdr:rowOff>
    </xdr:from>
    <xdr:to>
      <xdr:col>2065</xdr:col>
      <xdr:colOff>232064</xdr:colOff>
      <xdr:row>89</xdr:row>
      <xdr:rowOff>167986</xdr:rowOff>
    </xdr:to>
    <xdr:sp macro="" textlink="">
      <xdr:nvSpPr>
        <xdr:cNvPr id="26" name="Rechthoek 25">
          <a:extLst>
            <a:ext uri="{FF2B5EF4-FFF2-40B4-BE49-F238E27FC236}">
              <a16:creationId xmlns:a16="http://schemas.microsoft.com/office/drawing/2014/main" id="{5809F70D-4AB0-46EE-8FCC-294198CF9239}"/>
            </a:ext>
          </a:extLst>
        </xdr:cNvPr>
        <xdr:cNvSpPr/>
      </xdr:nvSpPr>
      <xdr:spPr>
        <a:xfrm>
          <a:off x="1234478100" y="0"/>
          <a:ext cx="9337964" cy="21446836"/>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37</xdr:col>
      <xdr:colOff>335280</xdr:colOff>
      <xdr:row>63</xdr:row>
      <xdr:rowOff>76200</xdr:rowOff>
    </xdr:from>
    <xdr:to>
      <xdr:col>37</xdr:col>
      <xdr:colOff>520011</xdr:colOff>
      <xdr:row>64</xdr:row>
      <xdr:rowOff>157880</xdr:rowOff>
    </xdr:to>
    <xdr:sp macro="" textlink="">
      <xdr:nvSpPr>
        <xdr:cNvPr id="28" name="Tekstvak 27">
          <a:extLst>
            <a:ext uri="{FF2B5EF4-FFF2-40B4-BE49-F238E27FC236}">
              <a16:creationId xmlns:a16="http://schemas.microsoft.com/office/drawing/2014/main" id="{CFB154B8-2A4D-433D-8310-F2470243E1EB}"/>
            </a:ext>
          </a:extLst>
        </xdr:cNvPr>
        <xdr:cNvSpPr txBox="1"/>
      </xdr:nvSpPr>
      <xdr:spPr>
        <a:xfrm>
          <a:off x="19964400" y="16078200"/>
          <a:ext cx="184731" cy="264560"/>
        </a:xfrm>
        <a:prstGeom prst="rect">
          <a:avLst/>
        </a:prstGeom>
        <a:solidFill>
          <a:srgbClr val="FFFFFF">
            <a:alpha val="1961"/>
          </a:srgbClr>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endParaRPr lang="nl-NL" sz="1100"/>
        </a:p>
      </xdr:txBody>
    </xdr:sp>
    <xdr:clientData/>
  </xdr:twoCellAnchor>
  <xdr:twoCellAnchor>
    <xdr:from>
      <xdr:col>2028</xdr:col>
      <xdr:colOff>120967</xdr:colOff>
      <xdr:row>39</xdr:row>
      <xdr:rowOff>19049</xdr:rowOff>
    </xdr:from>
    <xdr:to>
      <xdr:col>2039</xdr:col>
      <xdr:colOff>41909</xdr:colOff>
      <xdr:row>41</xdr:row>
      <xdr:rowOff>32385</xdr:rowOff>
    </xdr:to>
    <xdr:sp macro="" textlink="">
      <xdr:nvSpPr>
        <xdr:cNvPr id="29" name="Tekstvak 28">
          <a:extLst>
            <a:ext uri="{FF2B5EF4-FFF2-40B4-BE49-F238E27FC236}">
              <a16:creationId xmlns:a16="http://schemas.microsoft.com/office/drawing/2014/main" id="{16DE8991-2018-4BFA-9FF7-3963E63BA26C}"/>
            </a:ext>
          </a:extLst>
        </xdr:cNvPr>
        <xdr:cNvSpPr txBox="1"/>
      </xdr:nvSpPr>
      <xdr:spPr>
        <a:xfrm>
          <a:off x="1236694567" y="13735049"/>
          <a:ext cx="1262062" cy="805816"/>
        </a:xfrm>
        <a:prstGeom prst="rect">
          <a:avLst/>
        </a:prstGeom>
        <a:solidFill>
          <a:srgbClr val="FFFFFF">
            <a:alpha val="1961"/>
          </a:srgbClr>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nl-NL" sz="4000"/>
        </a:p>
      </xdr:txBody>
    </xdr:sp>
    <xdr:clientData/>
  </xdr:twoCellAnchor>
  <xdr:twoCellAnchor>
    <xdr:from>
      <xdr:col>70</xdr:col>
      <xdr:colOff>353984</xdr:colOff>
      <xdr:row>63</xdr:row>
      <xdr:rowOff>108929</xdr:rowOff>
    </xdr:from>
    <xdr:to>
      <xdr:col>79</xdr:col>
      <xdr:colOff>535653</xdr:colOff>
      <xdr:row>63</xdr:row>
      <xdr:rowOff>125036</xdr:rowOff>
    </xdr:to>
    <xdr:sp macro="" textlink="">
      <xdr:nvSpPr>
        <xdr:cNvPr id="30" name="Rechthoek 29">
          <a:extLst>
            <a:ext uri="{FF2B5EF4-FFF2-40B4-BE49-F238E27FC236}">
              <a16:creationId xmlns:a16="http://schemas.microsoft.com/office/drawing/2014/main" id="{8D234A87-80FB-46E8-A7F4-037CEE036731}"/>
            </a:ext>
          </a:extLst>
        </xdr:cNvPr>
        <xdr:cNvSpPr/>
      </xdr:nvSpPr>
      <xdr:spPr>
        <a:xfrm>
          <a:off x="46256864" y="16110929"/>
          <a:ext cx="5668069" cy="16107"/>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37</xdr:col>
      <xdr:colOff>1265514</xdr:colOff>
      <xdr:row>20</xdr:row>
      <xdr:rowOff>152400</xdr:rowOff>
    </xdr:from>
    <xdr:to>
      <xdr:col>42</xdr:col>
      <xdr:colOff>393470</xdr:colOff>
      <xdr:row>20</xdr:row>
      <xdr:rowOff>152400</xdr:rowOff>
    </xdr:to>
    <xdr:sp macro="" textlink="">
      <xdr:nvSpPr>
        <xdr:cNvPr id="32" name="Rechthoek 31">
          <a:extLst>
            <a:ext uri="{FF2B5EF4-FFF2-40B4-BE49-F238E27FC236}">
              <a16:creationId xmlns:a16="http://schemas.microsoft.com/office/drawing/2014/main" id="{DDB56188-FCE3-47EA-8299-20BCBC586709}"/>
            </a:ext>
          </a:extLst>
        </xdr:cNvPr>
        <xdr:cNvSpPr/>
      </xdr:nvSpPr>
      <xdr:spPr>
        <a:xfrm>
          <a:off x="20894634" y="4724400"/>
          <a:ext cx="2907476" cy="0"/>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57</xdr:col>
      <xdr:colOff>575310</xdr:colOff>
      <xdr:row>21</xdr:row>
      <xdr:rowOff>487681</xdr:rowOff>
    </xdr:from>
    <xdr:to>
      <xdr:col>72</xdr:col>
      <xdr:colOff>518160</xdr:colOff>
      <xdr:row>35</xdr:row>
      <xdr:rowOff>60962</xdr:rowOff>
    </xdr:to>
    <xdr:graphicFrame macro="">
      <xdr:nvGraphicFramePr>
        <xdr:cNvPr id="33" name="Grafiek 32">
          <a:extLst>
            <a:ext uri="{FF2B5EF4-FFF2-40B4-BE49-F238E27FC236}">
              <a16:creationId xmlns:a16="http://schemas.microsoft.com/office/drawing/2014/main" id="{E4C2DDC5-47A7-44CE-A028-83D57214C7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393812</xdr:colOff>
      <xdr:row>1</xdr:row>
      <xdr:rowOff>231371</xdr:rowOff>
    </xdr:from>
    <xdr:to>
      <xdr:col>12</xdr:col>
      <xdr:colOff>104047</xdr:colOff>
      <xdr:row>1</xdr:row>
      <xdr:rowOff>1028073</xdr:rowOff>
    </xdr:to>
    <xdr:pic>
      <xdr:nvPicPr>
        <xdr:cNvPr id="35" name="Afbeelding 34">
          <a:extLst>
            <a:ext uri="{FF2B5EF4-FFF2-40B4-BE49-F238E27FC236}">
              <a16:creationId xmlns:a16="http://schemas.microsoft.com/office/drawing/2014/main" id="{98E5D3CD-A79B-4821-A386-4AFA104815D8}"/>
            </a:ext>
          </a:extLst>
        </xdr:cNvPr>
        <xdr:cNvPicPr>
          <a:picLocks noChangeAspect="1"/>
        </xdr:cNvPicPr>
      </xdr:nvPicPr>
      <xdr:blipFill rotWithShape="1">
        <a:blip xmlns:r="http://schemas.openxmlformats.org/officeDocument/2006/relationships" r:embed="rId5"/>
        <a:srcRect b="27721"/>
        <a:stretch/>
      </xdr:blipFill>
      <xdr:spPr>
        <a:xfrm>
          <a:off x="7515048" y="1104207"/>
          <a:ext cx="2564272" cy="796702"/>
        </a:xfrm>
        <a:prstGeom prst="rect">
          <a:avLst/>
        </a:prstGeom>
        <a:solidFill>
          <a:srgbClr val="FFFFFF">
            <a:alpha val="1961"/>
          </a:srgbClr>
        </a:solidFill>
        <a:ln>
          <a:noFill/>
        </a:ln>
      </xdr:spPr>
    </xdr:pic>
    <xdr:clientData/>
  </xdr:twoCellAnchor>
  <xdr:twoCellAnchor>
    <xdr:from>
      <xdr:col>2021</xdr:col>
      <xdr:colOff>426720</xdr:colOff>
      <xdr:row>0</xdr:row>
      <xdr:rowOff>0</xdr:rowOff>
    </xdr:from>
    <xdr:to>
      <xdr:col>2068</xdr:col>
      <xdr:colOff>210589</xdr:colOff>
      <xdr:row>90</xdr:row>
      <xdr:rowOff>34636</xdr:rowOff>
    </xdr:to>
    <xdr:sp macro="" textlink="">
      <xdr:nvSpPr>
        <xdr:cNvPr id="36" name="Rechthoek 35">
          <a:extLst>
            <a:ext uri="{FF2B5EF4-FFF2-40B4-BE49-F238E27FC236}">
              <a16:creationId xmlns:a16="http://schemas.microsoft.com/office/drawing/2014/main" id="{46A3AD69-F3B7-45EE-B481-D52441C4DE0A}"/>
            </a:ext>
          </a:extLst>
        </xdr:cNvPr>
        <xdr:cNvSpPr/>
      </xdr:nvSpPr>
      <xdr:spPr>
        <a:xfrm>
          <a:off x="1235659200" y="0"/>
          <a:ext cx="10390909" cy="21827836"/>
        </a:xfrm>
        <a:prstGeom prst="rect">
          <a:avLst/>
        </a:prstGeom>
        <a:solidFill>
          <a:srgbClr val="FFFFFF"/>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9</xdr:col>
      <xdr:colOff>27709</xdr:colOff>
      <xdr:row>0</xdr:row>
      <xdr:rowOff>32657</xdr:rowOff>
    </xdr:from>
    <xdr:to>
      <xdr:col>78</xdr:col>
      <xdr:colOff>396240</xdr:colOff>
      <xdr:row>89</xdr:row>
      <xdr:rowOff>164275</xdr:rowOff>
    </xdr:to>
    <xdr:grpSp>
      <xdr:nvGrpSpPr>
        <xdr:cNvPr id="60" name="Groep 59">
          <a:extLst>
            <a:ext uri="{FF2B5EF4-FFF2-40B4-BE49-F238E27FC236}">
              <a16:creationId xmlns:a16="http://schemas.microsoft.com/office/drawing/2014/main" id="{EF6AEF22-7301-45EB-9DD9-41CDB7080E6A}"/>
            </a:ext>
          </a:extLst>
        </xdr:cNvPr>
        <xdr:cNvGrpSpPr/>
      </xdr:nvGrpSpPr>
      <xdr:grpSpPr>
        <a:xfrm>
          <a:off x="1025236" y="32657"/>
          <a:ext cx="49953949" cy="21287509"/>
          <a:chOff x="1028141" y="32657"/>
          <a:chExt cx="50095528" cy="21380532"/>
        </a:xfrm>
        <a:solidFill>
          <a:srgbClr val="FFFFFF">
            <a:alpha val="1961"/>
          </a:srgbClr>
        </a:solidFill>
      </xdr:grpSpPr>
      <xdr:sp macro="" textlink="">
        <xdr:nvSpPr>
          <xdr:cNvPr id="46" name="Rechthoek 45">
            <a:extLst>
              <a:ext uri="{FF2B5EF4-FFF2-40B4-BE49-F238E27FC236}">
                <a16:creationId xmlns:a16="http://schemas.microsoft.com/office/drawing/2014/main" id="{9AC69309-DEB6-4116-BC57-F8B225A032B6}"/>
              </a:ext>
            </a:extLst>
          </xdr:cNvPr>
          <xdr:cNvSpPr/>
        </xdr:nvSpPr>
        <xdr:spPr>
          <a:xfrm>
            <a:off x="10230300" y="4294045"/>
            <a:ext cx="9529055" cy="136214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nvGrpSpPr>
          <xdr:cNvPr id="59" name="Groep 58">
            <a:extLst>
              <a:ext uri="{FF2B5EF4-FFF2-40B4-BE49-F238E27FC236}">
                <a16:creationId xmlns:a16="http://schemas.microsoft.com/office/drawing/2014/main" id="{DFDA8C0A-ED0A-418A-9DC2-99529EE61E1B}"/>
              </a:ext>
            </a:extLst>
          </xdr:cNvPr>
          <xdr:cNvGrpSpPr/>
        </xdr:nvGrpSpPr>
        <xdr:grpSpPr>
          <a:xfrm>
            <a:off x="1028141" y="32657"/>
            <a:ext cx="50095528" cy="21380532"/>
            <a:chOff x="1028141" y="32657"/>
            <a:chExt cx="50095528" cy="21380532"/>
          </a:xfrm>
          <a:grpFill/>
        </xdr:grpSpPr>
        <xdr:sp macro="" textlink="">
          <xdr:nvSpPr>
            <xdr:cNvPr id="41" name="Rechthoek 40">
              <a:extLst>
                <a:ext uri="{FF2B5EF4-FFF2-40B4-BE49-F238E27FC236}">
                  <a16:creationId xmlns:a16="http://schemas.microsoft.com/office/drawing/2014/main" id="{FD32C1AD-F83B-48E0-96B1-C7F5342243DE}"/>
                </a:ext>
              </a:extLst>
            </xdr:cNvPr>
            <xdr:cNvSpPr/>
          </xdr:nvSpPr>
          <xdr:spPr>
            <a:xfrm>
              <a:off x="1028141" y="964969"/>
              <a:ext cx="39889134" cy="2040548"/>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2" name="Rechthoek 41">
              <a:extLst>
                <a:ext uri="{FF2B5EF4-FFF2-40B4-BE49-F238E27FC236}">
                  <a16:creationId xmlns:a16="http://schemas.microsoft.com/office/drawing/2014/main" id="{E169E990-D51E-4642-B391-05D3010227C0}"/>
                </a:ext>
              </a:extLst>
            </xdr:cNvPr>
            <xdr:cNvSpPr/>
          </xdr:nvSpPr>
          <xdr:spPr>
            <a:xfrm>
              <a:off x="30758102" y="32657"/>
              <a:ext cx="20365567" cy="21380531"/>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marL="0" indent="0" algn="l"/>
              <a:endParaRPr lang="nl-NL" sz="1100">
                <a:solidFill>
                  <a:schemeClr val="lt1"/>
                </a:solidFill>
                <a:latin typeface="+mn-lt"/>
                <a:ea typeface="+mn-ea"/>
                <a:cs typeface="+mn-cs"/>
              </a:endParaRPr>
            </a:p>
          </xdr:txBody>
        </xdr:sp>
        <xdr:sp macro="" textlink="">
          <xdr:nvSpPr>
            <xdr:cNvPr id="43" name="Rechthoek 42">
              <a:extLst>
                <a:ext uri="{FF2B5EF4-FFF2-40B4-BE49-F238E27FC236}">
                  <a16:creationId xmlns:a16="http://schemas.microsoft.com/office/drawing/2014/main" id="{0D9D0221-854B-40B1-9DCF-DDBE2BF4C4E6}"/>
                </a:ext>
              </a:extLst>
            </xdr:cNvPr>
            <xdr:cNvSpPr/>
          </xdr:nvSpPr>
          <xdr:spPr>
            <a:xfrm>
              <a:off x="19605172" y="2343165"/>
              <a:ext cx="4083776" cy="1902836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4" name="Rechthoek 43">
              <a:extLst>
                <a:ext uri="{FF2B5EF4-FFF2-40B4-BE49-F238E27FC236}">
                  <a16:creationId xmlns:a16="http://schemas.microsoft.com/office/drawing/2014/main" id="{3F3A1AE1-014B-4685-9C2D-C9E7BA4D7888}"/>
                </a:ext>
              </a:extLst>
            </xdr:cNvPr>
            <xdr:cNvSpPr/>
          </xdr:nvSpPr>
          <xdr:spPr>
            <a:xfrm>
              <a:off x="23780337" y="2384822"/>
              <a:ext cx="7148365" cy="313932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5" name="Rechthoek 44">
              <a:extLst>
                <a:ext uri="{FF2B5EF4-FFF2-40B4-BE49-F238E27FC236}">
                  <a16:creationId xmlns:a16="http://schemas.microsoft.com/office/drawing/2014/main" id="{F9267AF9-8A1E-4B88-943A-4AD0655B10F3}"/>
                </a:ext>
              </a:extLst>
            </xdr:cNvPr>
            <xdr:cNvSpPr/>
          </xdr:nvSpPr>
          <xdr:spPr>
            <a:xfrm>
              <a:off x="6099383" y="2384821"/>
              <a:ext cx="4156736" cy="1902836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6" name="Rechthoek 55">
              <a:extLst>
                <a:ext uri="{FF2B5EF4-FFF2-40B4-BE49-F238E27FC236}">
                  <a16:creationId xmlns:a16="http://schemas.microsoft.com/office/drawing/2014/main" id="{8849B958-A978-4593-B2F1-B91373C3CFE6}"/>
                </a:ext>
              </a:extLst>
            </xdr:cNvPr>
            <xdr:cNvSpPr/>
          </xdr:nvSpPr>
          <xdr:spPr>
            <a:xfrm>
              <a:off x="10228929" y="19201266"/>
              <a:ext cx="9529055" cy="214596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nvGrpSpPr>
            <xdr:cNvPr id="58" name="Groep 57">
              <a:extLst>
                <a:ext uri="{FF2B5EF4-FFF2-40B4-BE49-F238E27FC236}">
                  <a16:creationId xmlns:a16="http://schemas.microsoft.com/office/drawing/2014/main" id="{FBE5F03C-729D-4EF2-839B-E67AFBE0CC22}"/>
                </a:ext>
              </a:extLst>
            </xdr:cNvPr>
            <xdr:cNvGrpSpPr/>
          </xdr:nvGrpSpPr>
          <xdr:grpSpPr>
            <a:xfrm>
              <a:off x="10059115" y="6827412"/>
              <a:ext cx="9742272" cy="12483844"/>
              <a:chOff x="10059115" y="6827412"/>
              <a:chExt cx="9742272" cy="12483844"/>
            </a:xfrm>
            <a:grpFill/>
          </xdr:grpSpPr>
          <xdr:sp macro="" textlink="">
            <xdr:nvSpPr>
              <xdr:cNvPr id="47" name="Rechthoek 46">
                <a:extLst>
                  <a:ext uri="{FF2B5EF4-FFF2-40B4-BE49-F238E27FC236}">
                    <a16:creationId xmlns:a16="http://schemas.microsoft.com/office/drawing/2014/main" id="{0FA9D97D-718F-496F-ACB4-DCCCE33919D4}"/>
                  </a:ext>
                </a:extLst>
              </xdr:cNvPr>
              <xdr:cNvSpPr/>
            </xdr:nvSpPr>
            <xdr:spPr>
              <a:xfrm>
                <a:off x="10203648" y="6827412"/>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8" name="Rechthoek 47">
                <a:extLst>
                  <a:ext uri="{FF2B5EF4-FFF2-40B4-BE49-F238E27FC236}">
                    <a16:creationId xmlns:a16="http://schemas.microsoft.com/office/drawing/2014/main" id="{093ED7DB-8481-437C-A731-7A6C0ECEE8FA}"/>
                  </a:ext>
                </a:extLst>
              </xdr:cNvPr>
              <xdr:cNvSpPr/>
            </xdr:nvSpPr>
            <xdr:spPr>
              <a:xfrm>
                <a:off x="10255580" y="7690159"/>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9" name="Rechthoek 48">
                <a:extLst>
                  <a:ext uri="{FF2B5EF4-FFF2-40B4-BE49-F238E27FC236}">
                    <a16:creationId xmlns:a16="http://schemas.microsoft.com/office/drawing/2014/main" id="{902FAC37-8A85-4235-8929-D973D99A6D87}"/>
                  </a:ext>
                </a:extLst>
              </xdr:cNvPr>
              <xdr:cNvSpPr/>
            </xdr:nvSpPr>
            <xdr:spPr>
              <a:xfrm>
                <a:off x="10199914" y="9681526"/>
                <a:ext cx="9601473" cy="213587"/>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0" name="Rechthoek 49">
                <a:extLst>
                  <a:ext uri="{FF2B5EF4-FFF2-40B4-BE49-F238E27FC236}">
                    <a16:creationId xmlns:a16="http://schemas.microsoft.com/office/drawing/2014/main" id="{201F3FB7-AA9C-46FA-9DCC-29F9C1B87B8F}"/>
                  </a:ext>
                </a:extLst>
              </xdr:cNvPr>
              <xdr:cNvSpPr/>
            </xdr:nvSpPr>
            <xdr:spPr>
              <a:xfrm>
                <a:off x="10059115" y="11121875"/>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1" name="Rechthoek 50">
                <a:extLst>
                  <a:ext uri="{FF2B5EF4-FFF2-40B4-BE49-F238E27FC236}">
                    <a16:creationId xmlns:a16="http://schemas.microsoft.com/office/drawing/2014/main" id="{C82FA34C-3926-4CFB-9E78-A30C590C90DF}"/>
                  </a:ext>
                </a:extLst>
              </xdr:cNvPr>
              <xdr:cNvSpPr/>
            </xdr:nvSpPr>
            <xdr:spPr>
              <a:xfrm>
                <a:off x="10137137" y="11985093"/>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2" name="Rechthoek 51">
                <a:extLst>
                  <a:ext uri="{FF2B5EF4-FFF2-40B4-BE49-F238E27FC236}">
                    <a16:creationId xmlns:a16="http://schemas.microsoft.com/office/drawing/2014/main" id="{F30A15AB-9854-43C8-8A69-E7F6BA8AAB82}"/>
                  </a:ext>
                </a:extLst>
              </xdr:cNvPr>
              <xdr:cNvSpPr/>
            </xdr:nvSpPr>
            <xdr:spPr>
              <a:xfrm>
                <a:off x="10200906" y="12737674"/>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3" name="Rechthoek 52">
                <a:extLst>
                  <a:ext uri="{FF2B5EF4-FFF2-40B4-BE49-F238E27FC236}">
                    <a16:creationId xmlns:a16="http://schemas.microsoft.com/office/drawing/2014/main" id="{A768700F-F3CE-4A2B-862D-AF19A83B0106}"/>
                  </a:ext>
                </a:extLst>
              </xdr:cNvPr>
              <xdr:cNvSpPr/>
            </xdr:nvSpPr>
            <xdr:spPr>
              <a:xfrm>
                <a:off x="10166600" y="14055858"/>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4" name="Rechthoek 53">
                <a:extLst>
                  <a:ext uri="{FF2B5EF4-FFF2-40B4-BE49-F238E27FC236}">
                    <a16:creationId xmlns:a16="http://schemas.microsoft.com/office/drawing/2014/main" id="{8875DE84-0AFF-4FAB-9C04-CCD064966382}"/>
                  </a:ext>
                </a:extLst>
              </xdr:cNvPr>
              <xdr:cNvSpPr/>
            </xdr:nvSpPr>
            <xdr:spPr>
              <a:xfrm>
                <a:off x="10237990" y="15211336"/>
                <a:ext cx="9529055" cy="1130261"/>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5" name="Rechthoek 54">
                <a:extLst>
                  <a:ext uri="{FF2B5EF4-FFF2-40B4-BE49-F238E27FC236}">
                    <a16:creationId xmlns:a16="http://schemas.microsoft.com/office/drawing/2014/main" id="{2301E2BA-C005-4A54-8BBD-45F0523EE046}"/>
                  </a:ext>
                </a:extLst>
              </xdr:cNvPr>
              <xdr:cNvSpPr/>
            </xdr:nvSpPr>
            <xdr:spPr>
              <a:xfrm>
                <a:off x="10244310" y="16948382"/>
                <a:ext cx="9529055" cy="343659"/>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7" name="Rechthoek 56">
                <a:extLst>
                  <a:ext uri="{FF2B5EF4-FFF2-40B4-BE49-F238E27FC236}">
                    <a16:creationId xmlns:a16="http://schemas.microsoft.com/office/drawing/2014/main" id="{D419674E-8349-4F28-A64C-741B99C88528}"/>
                  </a:ext>
                </a:extLst>
              </xdr:cNvPr>
              <xdr:cNvSpPr/>
            </xdr:nvSpPr>
            <xdr:spPr>
              <a:xfrm>
                <a:off x="10236620" y="14823931"/>
                <a:ext cx="9529055" cy="9928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38" name="Rechthoek 37">
                <a:extLst>
                  <a:ext uri="{FF2B5EF4-FFF2-40B4-BE49-F238E27FC236}">
                    <a16:creationId xmlns:a16="http://schemas.microsoft.com/office/drawing/2014/main" id="{FC4E9DE0-8FC8-4814-BDCE-DCC8EEC6958F}"/>
                  </a:ext>
                </a:extLst>
              </xdr:cNvPr>
              <xdr:cNvSpPr/>
            </xdr:nvSpPr>
            <xdr:spPr>
              <a:xfrm>
                <a:off x="10187444" y="17830998"/>
                <a:ext cx="9469978" cy="34814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39" name="Rechthoek 38">
                <a:extLst>
                  <a:ext uri="{FF2B5EF4-FFF2-40B4-BE49-F238E27FC236}">
                    <a16:creationId xmlns:a16="http://schemas.microsoft.com/office/drawing/2014/main" id="{33AB6602-A70F-4C95-A91F-C9B12C599531}"/>
                  </a:ext>
                </a:extLst>
              </xdr:cNvPr>
              <xdr:cNvSpPr/>
            </xdr:nvSpPr>
            <xdr:spPr>
              <a:xfrm>
                <a:off x="10212187" y="18750543"/>
                <a:ext cx="9469978" cy="560713"/>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grpSp>
    </xdr:grpSp>
    <xdr:clientData/>
  </xdr:twoCellAnchor>
  <xdr:twoCellAnchor>
    <xdr:from>
      <xdr:col>12</xdr:col>
      <xdr:colOff>30084</xdr:colOff>
      <xdr:row>7</xdr:row>
      <xdr:rowOff>25530</xdr:rowOff>
    </xdr:from>
    <xdr:to>
      <xdr:col>14</xdr:col>
      <xdr:colOff>65623</xdr:colOff>
      <xdr:row>8</xdr:row>
      <xdr:rowOff>120335</xdr:rowOff>
    </xdr:to>
    <xdr:sp macro="" textlink="">
      <xdr:nvSpPr>
        <xdr:cNvPr id="40" name="Rechthoek 39">
          <a:extLst>
            <a:ext uri="{FF2B5EF4-FFF2-40B4-BE49-F238E27FC236}">
              <a16:creationId xmlns:a16="http://schemas.microsoft.com/office/drawing/2014/main" id="{A1B6A6F9-40B8-4CED-B644-62AB3057CED5}"/>
            </a:ext>
          </a:extLst>
        </xdr:cNvPr>
        <xdr:cNvSpPr/>
      </xdr:nvSpPr>
      <xdr:spPr>
        <a:xfrm>
          <a:off x="10005357" y="3267494"/>
          <a:ext cx="9470484" cy="288768"/>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0</xdr:col>
      <xdr:colOff>55418</xdr:colOff>
      <xdr:row>0</xdr:row>
      <xdr:rowOff>41565</xdr:rowOff>
    </xdr:from>
    <xdr:to>
      <xdr:col>8</xdr:col>
      <xdr:colOff>41564</xdr:colOff>
      <xdr:row>140</xdr:row>
      <xdr:rowOff>69272</xdr:rowOff>
    </xdr:to>
    <xdr:sp macro="" textlink="">
      <xdr:nvSpPr>
        <xdr:cNvPr id="61" name="Rechthoek 60">
          <a:extLst>
            <a:ext uri="{FF2B5EF4-FFF2-40B4-BE49-F238E27FC236}">
              <a16:creationId xmlns:a16="http://schemas.microsoft.com/office/drawing/2014/main" id="{BD4BFD57-3F08-41C7-92E0-376E6654504C}"/>
            </a:ext>
          </a:extLst>
        </xdr:cNvPr>
        <xdr:cNvSpPr/>
      </xdr:nvSpPr>
      <xdr:spPr>
        <a:xfrm>
          <a:off x="55418" y="41565"/>
          <a:ext cx="872837" cy="30369162"/>
        </a:xfrm>
        <a:prstGeom prst="rect">
          <a:avLst/>
        </a:prstGeom>
        <a:solidFill>
          <a:srgbClr val="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41565</xdr:colOff>
      <xdr:row>0</xdr:row>
      <xdr:rowOff>0</xdr:rowOff>
    </xdr:from>
    <xdr:to>
      <xdr:col>2130</xdr:col>
      <xdr:colOff>526869</xdr:colOff>
      <xdr:row>90</xdr:row>
      <xdr:rowOff>110836</xdr:rowOff>
    </xdr:to>
    <xdr:grpSp>
      <xdr:nvGrpSpPr>
        <xdr:cNvPr id="72" name="Groep 71">
          <a:extLst>
            <a:ext uri="{FF2B5EF4-FFF2-40B4-BE49-F238E27FC236}">
              <a16:creationId xmlns:a16="http://schemas.microsoft.com/office/drawing/2014/main" id="{7B00B5A3-35FE-425E-914E-55A7BB111FD0}"/>
            </a:ext>
          </a:extLst>
        </xdr:cNvPr>
        <xdr:cNvGrpSpPr/>
      </xdr:nvGrpSpPr>
      <xdr:grpSpPr>
        <a:xfrm>
          <a:off x="152401" y="0"/>
          <a:ext cx="1284178213" cy="21446836"/>
          <a:chOff x="152401" y="0"/>
          <a:chExt cx="1284178213" cy="21446836"/>
        </a:xfrm>
        <a:solidFill>
          <a:srgbClr val="FFFFFF">
            <a:alpha val="1961"/>
          </a:srgbClr>
        </a:solidFill>
      </xdr:grpSpPr>
      <xdr:sp macro="" textlink="">
        <xdr:nvSpPr>
          <xdr:cNvPr id="2" name="Tekstvak 1">
            <a:extLst>
              <a:ext uri="{FF2B5EF4-FFF2-40B4-BE49-F238E27FC236}">
                <a16:creationId xmlns:a16="http://schemas.microsoft.com/office/drawing/2014/main" id="{1AF2E42F-7E50-4EBC-A18E-D2A4F412632B}"/>
              </a:ext>
            </a:extLst>
          </xdr:cNvPr>
          <xdr:cNvSpPr txBox="1"/>
        </xdr:nvSpPr>
        <xdr:spPr>
          <a:xfrm>
            <a:off x="19784291" y="15253855"/>
            <a:ext cx="184731" cy="264560"/>
          </a:xfrm>
          <a:prstGeom prst="rect">
            <a:avLst/>
          </a:prstGeom>
          <a:grp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nl-NL" sz="1100"/>
          </a:p>
        </xdr:txBody>
      </xdr:sp>
      <xdr:sp macro="" textlink="">
        <xdr:nvSpPr>
          <xdr:cNvPr id="3" name="Tekstvak 2">
            <a:extLst>
              <a:ext uri="{FF2B5EF4-FFF2-40B4-BE49-F238E27FC236}">
                <a16:creationId xmlns:a16="http://schemas.microsoft.com/office/drawing/2014/main" id="{6BD1863D-9978-4E67-9361-3F1822FE7B9A}"/>
              </a:ext>
            </a:extLst>
          </xdr:cNvPr>
          <xdr:cNvSpPr txBox="1"/>
        </xdr:nvSpPr>
        <xdr:spPr>
          <a:xfrm>
            <a:off x="1236278931" y="13007685"/>
            <a:ext cx="1262062" cy="805816"/>
          </a:xfrm>
          <a:prstGeom prst="rect">
            <a:avLst/>
          </a:prstGeom>
          <a:grp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nl-NL" sz="4000"/>
          </a:p>
        </xdr:txBody>
      </xdr:sp>
      <xdr:sp macro="" textlink="">
        <xdr:nvSpPr>
          <xdr:cNvPr id="4" name="Rechthoek 3">
            <a:extLst>
              <a:ext uri="{FF2B5EF4-FFF2-40B4-BE49-F238E27FC236}">
                <a16:creationId xmlns:a16="http://schemas.microsoft.com/office/drawing/2014/main" id="{19B4414A-FC76-4ED8-95DA-0E05ECAEFE62}"/>
              </a:ext>
            </a:extLst>
          </xdr:cNvPr>
          <xdr:cNvSpPr/>
        </xdr:nvSpPr>
        <xdr:spPr>
          <a:xfrm>
            <a:off x="45896646" y="15251947"/>
            <a:ext cx="5668069" cy="50744"/>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aphicFrame macro="">
        <xdr:nvGraphicFramePr>
          <xdr:cNvPr id="5" name="Grafiek 4">
            <a:extLst>
              <a:ext uri="{FF2B5EF4-FFF2-40B4-BE49-F238E27FC236}">
                <a16:creationId xmlns:a16="http://schemas.microsoft.com/office/drawing/2014/main" id="{F9822295-267E-4A6C-915D-82FF2699F09F}"/>
              </a:ext>
            </a:extLst>
          </xdr:cNvPr>
          <xdr:cNvGraphicFramePr>
            <a:graphicFrameLocks/>
          </xdr:cNvGraphicFramePr>
        </xdr:nvGraphicFramePr>
        <xdr:xfrm>
          <a:off x="1044287" y="4596245"/>
          <a:ext cx="6004905" cy="9324110"/>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6" name="Rechthoek 5">
            <a:extLst>
              <a:ext uri="{FF2B5EF4-FFF2-40B4-BE49-F238E27FC236}">
                <a16:creationId xmlns:a16="http://schemas.microsoft.com/office/drawing/2014/main" id="{EBF1B58B-5E38-4FA3-940C-1DC438DEE66C}"/>
              </a:ext>
            </a:extLst>
          </xdr:cNvPr>
          <xdr:cNvSpPr/>
        </xdr:nvSpPr>
        <xdr:spPr>
          <a:xfrm>
            <a:off x="20714525" y="4405745"/>
            <a:ext cx="2865912" cy="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aphicFrame macro="">
        <xdr:nvGraphicFramePr>
          <xdr:cNvPr id="7" name="Grafiek 6">
            <a:extLst>
              <a:ext uri="{FF2B5EF4-FFF2-40B4-BE49-F238E27FC236}">
                <a16:creationId xmlns:a16="http://schemas.microsoft.com/office/drawing/2014/main" id="{C81843D8-BC70-4EC0-B824-3E93654A0090}"/>
              </a:ext>
            </a:extLst>
          </xdr:cNvPr>
          <xdr:cNvGraphicFramePr>
            <a:graphicFrameLocks/>
          </xdr:cNvGraphicFramePr>
        </xdr:nvGraphicFramePr>
        <xdr:xfrm>
          <a:off x="41241172" y="5104016"/>
          <a:ext cx="6038850" cy="6492241"/>
        </xdr:xfrm>
        <a:graphic>
          <a:graphicData uri="http://schemas.openxmlformats.org/drawingml/2006/chart">
            <c:chart xmlns:c="http://schemas.openxmlformats.org/drawingml/2006/chart" xmlns:r="http://schemas.openxmlformats.org/officeDocument/2006/relationships" r:id="rId2"/>
          </a:graphicData>
        </a:graphic>
      </xdr:graphicFrame>
      <xdr:graphicFrame macro="">
        <xdr:nvGraphicFramePr>
          <xdr:cNvPr id="8" name="Grafiek 7">
            <a:extLst>
              <a:ext uri="{FF2B5EF4-FFF2-40B4-BE49-F238E27FC236}">
                <a16:creationId xmlns:a16="http://schemas.microsoft.com/office/drawing/2014/main" id="{4C5210B6-637D-4624-972D-6FF647BCFDF5}"/>
              </a:ext>
            </a:extLst>
          </xdr:cNvPr>
          <xdr:cNvGraphicFramePr>
            <a:graphicFrameLocks/>
          </xdr:cNvGraphicFramePr>
        </xdr:nvGraphicFramePr>
        <xdr:xfrm>
          <a:off x="1016577" y="14051973"/>
          <a:ext cx="6096000" cy="4816185"/>
        </xdr:xfrm>
        <a:graphic>
          <a:graphicData uri="http://schemas.openxmlformats.org/drawingml/2006/chart">
            <c:chart xmlns:c="http://schemas.openxmlformats.org/drawingml/2006/chart" xmlns:r="http://schemas.openxmlformats.org/officeDocument/2006/relationships" r:id="rId3"/>
          </a:graphicData>
        </a:graphic>
      </xdr:graphicFrame>
      <xdr:pic>
        <xdr:nvPicPr>
          <xdr:cNvPr id="9" name="Afbeelding 8">
            <a:extLst>
              <a:ext uri="{FF2B5EF4-FFF2-40B4-BE49-F238E27FC236}">
                <a16:creationId xmlns:a16="http://schemas.microsoft.com/office/drawing/2014/main" id="{F1181A9C-9056-4ED7-9017-66838300F6DF}"/>
              </a:ext>
            </a:extLst>
          </xdr:cNvPr>
          <xdr:cNvPicPr>
            <a:picLocks noChangeAspect="1"/>
          </xdr:cNvPicPr>
        </xdr:nvPicPr>
        <xdr:blipFill rotWithShape="1">
          <a:blip xmlns:r="http://schemas.openxmlformats.org/officeDocument/2006/relationships" r:embed="rId4"/>
          <a:srcRect b="27721"/>
          <a:stretch/>
        </xdr:blipFill>
        <xdr:spPr>
          <a:xfrm>
            <a:off x="7462407" y="1101437"/>
            <a:ext cx="2525480" cy="796702"/>
          </a:xfrm>
          <a:prstGeom prst="rect">
            <a:avLst/>
          </a:prstGeom>
          <a:grpFill/>
          <a:ln>
            <a:noFill/>
          </a:ln>
        </xdr:spPr>
      </xdr:pic>
      <xdr:sp macro="" textlink="">
        <xdr:nvSpPr>
          <xdr:cNvPr id="24" name="Rechthoek 23">
            <a:extLst>
              <a:ext uri="{FF2B5EF4-FFF2-40B4-BE49-F238E27FC236}">
                <a16:creationId xmlns:a16="http://schemas.microsoft.com/office/drawing/2014/main" id="{A7F58F49-1F2C-4F13-8B63-44828D9CAF04}"/>
              </a:ext>
            </a:extLst>
          </xdr:cNvPr>
          <xdr:cNvSpPr/>
        </xdr:nvSpPr>
        <xdr:spPr>
          <a:xfrm>
            <a:off x="30895636" y="3751811"/>
            <a:ext cx="20102946" cy="14732924"/>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26" name="Rechthoek 25">
            <a:extLst>
              <a:ext uri="{FF2B5EF4-FFF2-40B4-BE49-F238E27FC236}">
                <a16:creationId xmlns:a16="http://schemas.microsoft.com/office/drawing/2014/main" id="{440A6C2C-A18A-48C8-9885-CD73099CA64F}"/>
              </a:ext>
            </a:extLst>
          </xdr:cNvPr>
          <xdr:cNvSpPr/>
        </xdr:nvSpPr>
        <xdr:spPr>
          <a:xfrm>
            <a:off x="1233206945" y="0"/>
            <a:ext cx="9337964" cy="2144683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nvGrpSpPr>
          <xdr:cNvPr id="27" name="Groep 26">
            <a:extLst>
              <a:ext uri="{FF2B5EF4-FFF2-40B4-BE49-F238E27FC236}">
                <a16:creationId xmlns:a16="http://schemas.microsoft.com/office/drawing/2014/main" id="{5D2A7E3E-E88C-4A56-A556-9DFF652D40B5}"/>
              </a:ext>
            </a:extLst>
          </xdr:cNvPr>
          <xdr:cNvGrpSpPr/>
        </xdr:nvGrpSpPr>
        <xdr:grpSpPr>
          <a:xfrm>
            <a:off x="1233206945" y="0"/>
            <a:ext cx="51123669" cy="21380532"/>
            <a:chOff x="0" y="32657"/>
            <a:chExt cx="51123669" cy="21380532"/>
          </a:xfrm>
          <a:grpFill/>
        </xdr:grpSpPr>
        <xdr:sp macro="" textlink="">
          <xdr:nvSpPr>
            <xdr:cNvPr id="28" name="Rechthoek 27">
              <a:extLst>
                <a:ext uri="{FF2B5EF4-FFF2-40B4-BE49-F238E27FC236}">
                  <a16:creationId xmlns:a16="http://schemas.microsoft.com/office/drawing/2014/main" id="{174F38E1-5E85-48A2-A082-FEEB1F31A0D2}"/>
                </a:ext>
              </a:extLst>
            </xdr:cNvPr>
            <xdr:cNvSpPr/>
          </xdr:nvSpPr>
          <xdr:spPr>
            <a:xfrm>
              <a:off x="0" y="32659"/>
              <a:ext cx="30914717" cy="3037112"/>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29" name="Rechthoek 28">
              <a:extLst>
                <a:ext uri="{FF2B5EF4-FFF2-40B4-BE49-F238E27FC236}">
                  <a16:creationId xmlns:a16="http://schemas.microsoft.com/office/drawing/2014/main" id="{83FF7C16-6A79-4E2E-8B1E-B7FDC1CFC254}"/>
                </a:ext>
              </a:extLst>
            </xdr:cNvPr>
            <xdr:cNvSpPr/>
          </xdr:nvSpPr>
          <xdr:spPr>
            <a:xfrm>
              <a:off x="30758102" y="32657"/>
              <a:ext cx="20365567" cy="21380531"/>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marL="0" indent="0" algn="l"/>
              <a:endParaRPr lang="nl-NL" sz="1100">
                <a:solidFill>
                  <a:schemeClr val="lt1"/>
                </a:solidFill>
                <a:latin typeface="+mn-lt"/>
                <a:ea typeface="+mn-ea"/>
                <a:cs typeface="+mn-cs"/>
              </a:endParaRPr>
            </a:p>
          </xdr:txBody>
        </xdr:sp>
        <xdr:sp macro="" textlink="">
          <xdr:nvSpPr>
            <xdr:cNvPr id="30" name="Rechthoek 29">
              <a:extLst>
                <a:ext uri="{FF2B5EF4-FFF2-40B4-BE49-F238E27FC236}">
                  <a16:creationId xmlns:a16="http://schemas.microsoft.com/office/drawing/2014/main" id="{22339FB2-808B-4DE4-9709-AAA4C86EF357}"/>
                </a:ext>
              </a:extLst>
            </xdr:cNvPr>
            <xdr:cNvSpPr/>
          </xdr:nvSpPr>
          <xdr:spPr>
            <a:xfrm>
              <a:off x="1177637" y="2343165"/>
              <a:ext cx="22812453" cy="19028368"/>
            </a:xfrm>
            <a:prstGeom prst="rect">
              <a:avLst/>
            </a:prstGeom>
            <a:solidFill>
              <a:srgbClr val="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31" name="Rechthoek 30">
              <a:extLst>
                <a:ext uri="{FF2B5EF4-FFF2-40B4-BE49-F238E27FC236}">
                  <a16:creationId xmlns:a16="http://schemas.microsoft.com/office/drawing/2014/main" id="{FAA969F6-4759-4B6D-80BE-A70FD700B509}"/>
                </a:ext>
              </a:extLst>
            </xdr:cNvPr>
            <xdr:cNvSpPr/>
          </xdr:nvSpPr>
          <xdr:spPr>
            <a:xfrm>
              <a:off x="23780337" y="2384822"/>
              <a:ext cx="7148365" cy="344354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32" name="Rechthoek 31">
              <a:extLst>
                <a:ext uri="{FF2B5EF4-FFF2-40B4-BE49-F238E27FC236}">
                  <a16:creationId xmlns:a16="http://schemas.microsoft.com/office/drawing/2014/main" id="{71179C24-46A0-4C00-97F6-F65C6219E372}"/>
                </a:ext>
              </a:extLst>
            </xdr:cNvPr>
            <xdr:cNvSpPr/>
          </xdr:nvSpPr>
          <xdr:spPr>
            <a:xfrm>
              <a:off x="1" y="2384821"/>
              <a:ext cx="10256117" cy="1902836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33" name="Rechthoek 32">
              <a:extLst>
                <a:ext uri="{FF2B5EF4-FFF2-40B4-BE49-F238E27FC236}">
                  <a16:creationId xmlns:a16="http://schemas.microsoft.com/office/drawing/2014/main" id="{1E223748-7461-4A6F-9664-317DD3D59D9A}"/>
                </a:ext>
              </a:extLst>
            </xdr:cNvPr>
            <xdr:cNvSpPr/>
          </xdr:nvSpPr>
          <xdr:spPr>
            <a:xfrm>
              <a:off x="10228929" y="19201266"/>
              <a:ext cx="9529055" cy="214596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nvGrpSpPr>
            <xdr:cNvPr id="34" name="Groep 33">
              <a:extLst>
                <a:ext uri="{FF2B5EF4-FFF2-40B4-BE49-F238E27FC236}">
                  <a16:creationId xmlns:a16="http://schemas.microsoft.com/office/drawing/2014/main" id="{4D2B00BB-0D03-4588-B78B-96BB2E176384}"/>
                </a:ext>
              </a:extLst>
            </xdr:cNvPr>
            <xdr:cNvGrpSpPr/>
          </xdr:nvGrpSpPr>
          <xdr:grpSpPr>
            <a:xfrm>
              <a:off x="10059115" y="6827412"/>
              <a:ext cx="9742272" cy="12483844"/>
              <a:chOff x="10059115" y="6827412"/>
              <a:chExt cx="9742272" cy="12483844"/>
            </a:xfrm>
            <a:grpFill/>
          </xdr:grpSpPr>
          <xdr:sp macro="" textlink="">
            <xdr:nvSpPr>
              <xdr:cNvPr id="35" name="Rechthoek 34">
                <a:extLst>
                  <a:ext uri="{FF2B5EF4-FFF2-40B4-BE49-F238E27FC236}">
                    <a16:creationId xmlns:a16="http://schemas.microsoft.com/office/drawing/2014/main" id="{92BA6A9B-FCD6-4DFB-80FD-232001491A12}"/>
                  </a:ext>
                </a:extLst>
              </xdr:cNvPr>
              <xdr:cNvSpPr/>
            </xdr:nvSpPr>
            <xdr:spPr>
              <a:xfrm>
                <a:off x="10203648" y="6827412"/>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36" name="Rechthoek 35">
                <a:extLst>
                  <a:ext uri="{FF2B5EF4-FFF2-40B4-BE49-F238E27FC236}">
                    <a16:creationId xmlns:a16="http://schemas.microsoft.com/office/drawing/2014/main" id="{F18C0436-1C81-450E-ACFA-1D8F248552CE}"/>
                  </a:ext>
                </a:extLst>
              </xdr:cNvPr>
              <xdr:cNvSpPr/>
            </xdr:nvSpPr>
            <xdr:spPr>
              <a:xfrm>
                <a:off x="10255580" y="7690159"/>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37" name="Rechthoek 36">
                <a:extLst>
                  <a:ext uri="{FF2B5EF4-FFF2-40B4-BE49-F238E27FC236}">
                    <a16:creationId xmlns:a16="http://schemas.microsoft.com/office/drawing/2014/main" id="{0ADAAFF4-A389-469F-9330-8AAEF5F42760}"/>
                  </a:ext>
                </a:extLst>
              </xdr:cNvPr>
              <xdr:cNvSpPr/>
            </xdr:nvSpPr>
            <xdr:spPr>
              <a:xfrm>
                <a:off x="10199914" y="9681526"/>
                <a:ext cx="9601473" cy="213587"/>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38" name="Rechthoek 37">
                <a:extLst>
                  <a:ext uri="{FF2B5EF4-FFF2-40B4-BE49-F238E27FC236}">
                    <a16:creationId xmlns:a16="http://schemas.microsoft.com/office/drawing/2014/main" id="{46203C5E-659E-4ED7-8CA0-A1A7DC33317C}"/>
                  </a:ext>
                </a:extLst>
              </xdr:cNvPr>
              <xdr:cNvSpPr/>
            </xdr:nvSpPr>
            <xdr:spPr>
              <a:xfrm>
                <a:off x="10059115" y="11121875"/>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39" name="Rechthoek 38">
                <a:extLst>
                  <a:ext uri="{FF2B5EF4-FFF2-40B4-BE49-F238E27FC236}">
                    <a16:creationId xmlns:a16="http://schemas.microsoft.com/office/drawing/2014/main" id="{4EB8C158-AAAE-4F74-872D-E85BC1FC96AC}"/>
                  </a:ext>
                </a:extLst>
              </xdr:cNvPr>
              <xdr:cNvSpPr/>
            </xdr:nvSpPr>
            <xdr:spPr>
              <a:xfrm>
                <a:off x="10137137" y="11985093"/>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0" name="Rechthoek 39">
                <a:extLst>
                  <a:ext uri="{FF2B5EF4-FFF2-40B4-BE49-F238E27FC236}">
                    <a16:creationId xmlns:a16="http://schemas.microsoft.com/office/drawing/2014/main" id="{2AD9672A-6B45-4C4B-ABDF-F4601DD1E35C}"/>
                  </a:ext>
                </a:extLst>
              </xdr:cNvPr>
              <xdr:cNvSpPr/>
            </xdr:nvSpPr>
            <xdr:spPr>
              <a:xfrm>
                <a:off x="10200906" y="12737674"/>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1" name="Rechthoek 40">
                <a:extLst>
                  <a:ext uri="{FF2B5EF4-FFF2-40B4-BE49-F238E27FC236}">
                    <a16:creationId xmlns:a16="http://schemas.microsoft.com/office/drawing/2014/main" id="{C93E2394-0468-4838-9D65-A5796E792906}"/>
                  </a:ext>
                </a:extLst>
              </xdr:cNvPr>
              <xdr:cNvSpPr/>
            </xdr:nvSpPr>
            <xdr:spPr>
              <a:xfrm>
                <a:off x="10166600" y="14055858"/>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2" name="Rechthoek 41">
                <a:extLst>
                  <a:ext uri="{FF2B5EF4-FFF2-40B4-BE49-F238E27FC236}">
                    <a16:creationId xmlns:a16="http://schemas.microsoft.com/office/drawing/2014/main" id="{A9031316-7A1B-4E0C-86E8-2CC85CDAC89C}"/>
                  </a:ext>
                </a:extLst>
              </xdr:cNvPr>
              <xdr:cNvSpPr/>
            </xdr:nvSpPr>
            <xdr:spPr>
              <a:xfrm>
                <a:off x="10237990" y="15211336"/>
                <a:ext cx="9529055" cy="1130261"/>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3" name="Rechthoek 42">
                <a:extLst>
                  <a:ext uri="{FF2B5EF4-FFF2-40B4-BE49-F238E27FC236}">
                    <a16:creationId xmlns:a16="http://schemas.microsoft.com/office/drawing/2014/main" id="{66CF08EC-11C3-4F2D-B033-753F2218B800}"/>
                  </a:ext>
                </a:extLst>
              </xdr:cNvPr>
              <xdr:cNvSpPr/>
            </xdr:nvSpPr>
            <xdr:spPr>
              <a:xfrm>
                <a:off x="10244310" y="16948382"/>
                <a:ext cx="9529055" cy="343659"/>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4" name="Rechthoek 43">
                <a:extLst>
                  <a:ext uri="{FF2B5EF4-FFF2-40B4-BE49-F238E27FC236}">
                    <a16:creationId xmlns:a16="http://schemas.microsoft.com/office/drawing/2014/main" id="{8760A079-DE4D-4C14-BBC1-955DEEB0401C}"/>
                  </a:ext>
                </a:extLst>
              </xdr:cNvPr>
              <xdr:cNvSpPr/>
            </xdr:nvSpPr>
            <xdr:spPr>
              <a:xfrm>
                <a:off x="10236620" y="14823931"/>
                <a:ext cx="9529055" cy="9928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5" name="Rechthoek 44">
                <a:extLst>
                  <a:ext uri="{FF2B5EF4-FFF2-40B4-BE49-F238E27FC236}">
                    <a16:creationId xmlns:a16="http://schemas.microsoft.com/office/drawing/2014/main" id="{03C4EB63-BF74-48CD-844B-B792D71AE20C}"/>
                  </a:ext>
                </a:extLst>
              </xdr:cNvPr>
              <xdr:cNvSpPr/>
            </xdr:nvSpPr>
            <xdr:spPr>
              <a:xfrm>
                <a:off x="10187444" y="17830998"/>
                <a:ext cx="9469978" cy="34814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6" name="Rechthoek 45">
                <a:extLst>
                  <a:ext uri="{FF2B5EF4-FFF2-40B4-BE49-F238E27FC236}">
                    <a16:creationId xmlns:a16="http://schemas.microsoft.com/office/drawing/2014/main" id="{F43DC70C-2589-4CF3-86C1-5045E2641248}"/>
                  </a:ext>
                </a:extLst>
              </xdr:cNvPr>
              <xdr:cNvSpPr/>
            </xdr:nvSpPr>
            <xdr:spPr>
              <a:xfrm>
                <a:off x="10212187" y="18750543"/>
                <a:ext cx="9469978" cy="560713"/>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grpSp>
      <xdr:grpSp>
        <xdr:nvGrpSpPr>
          <xdr:cNvPr id="71" name="Groep 70">
            <a:extLst>
              <a:ext uri="{FF2B5EF4-FFF2-40B4-BE49-F238E27FC236}">
                <a16:creationId xmlns:a16="http://schemas.microsoft.com/office/drawing/2014/main" id="{529DD54D-155B-48D4-AD97-593E350763E8}"/>
              </a:ext>
            </a:extLst>
          </xdr:cNvPr>
          <xdr:cNvGrpSpPr/>
        </xdr:nvGrpSpPr>
        <xdr:grpSpPr>
          <a:xfrm>
            <a:off x="152401" y="0"/>
            <a:ext cx="51123668" cy="21380532"/>
            <a:chOff x="152401" y="0"/>
            <a:chExt cx="51123668" cy="21380532"/>
          </a:xfrm>
          <a:grpFill/>
        </xdr:grpSpPr>
        <xdr:sp macro="" textlink="">
          <xdr:nvSpPr>
            <xdr:cNvPr id="48" name="Rechthoek 47">
              <a:extLst>
                <a:ext uri="{FF2B5EF4-FFF2-40B4-BE49-F238E27FC236}">
                  <a16:creationId xmlns:a16="http://schemas.microsoft.com/office/drawing/2014/main" id="{BFACAF53-66D5-46AE-B9D9-01ABF320C887}"/>
                </a:ext>
              </a:extLst>
            </xdr:cNvPr>
            <xdr:cNvSpPr/>
          </xdr:nvSpPr>
          <xdr:spPr>
            <a:xfrm>
              <a:off x="1066800" y="914399"/>
              <a:ext cx="30000317" cy="2064327"/>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9" name="Rechthoek 48">
              <a:extLst>
                <a:ext uri="{FF2B5EF4-FFF2-40B4-BE49-F238E27FC236}">
                  <a16:creationId xmlns:a16="http://schemas.microsoft.com/office/drawing/2014/main" id="{FDFDF2DB-85DA-41DC-BE86-2A1B5641A3D7}"/>
                </a:ext>
              </a:extLst>
            </xdr:cNvPr>
            <xdr:cNvSpPr/>
          </xdr:nvSpPr>
          <xdr:spPr>
            <a:xfrm>
              <a:off x="31338982" y="0"/>
              <a:ext cx="19937087" cy="21380531"/>
            </a:xfrm>
            <a:prstGeom prst="rect">
              <a:avLst/>
            </a:prstGeom>
            <a:solidFill>
              <a:srgbClr val="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marL="0" indent="0" algn="l"/>
              <a:endParaRPr lang="nl-NL" sz="1100">
                <a:solidFill>
                  <a:schemeClr val="lt1"/>
                </a:solidFill>
                <a:latin typeface="+mn-lt"/>
                <a:ea typeface="+mn-ea"/>
                <a:cs typeface="+mn-cs"/>
              </a:endParaRPr>
            </a:p>
          </xdr:txBody>
        </xdr:sp>
        <xdr:sp macro="" textlink="">
          <xdr:nvSpPr>
            <xdr:cNvPr id="50" name="Rechthoek 49">
              <a:extLst>
                <a:ext uri="{FF2B5EF4-FFF2-40B4-BE49-F238E27FC236}">
                  <a16:creationId xmlns:a16="http://schemas.microsoft.com/office/drawing/2014/main" id="{749D619B-8CF8-4E2B-85E9-69D447EDAE5B}"/>
                </a:ext>
              </a:extLst>
            </xdr:cNvPr>
            <xdr:cNvSpPr/>
          </xdr:nvSpPr>
          <xdr:spPr>
            <a:xfrm>
              <a:off x="19757572" y="2310508"/>
              <a:ext cx="4113810" cy="1902836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1" name="Rechthoek 50">
              <a:extLst>
                <a:ext uri="{FF2B5EF4-FFF2-40B4-BE49-F238E27FC236}">
                  <a16:creationId xmlns:a16="http://schemas.microsoft.com/office/drawing/2014/main" id="{BB0B7DB2-9348-4484-A0EB-77EF388EE1F9}"/>
                </a:ext>
              </a:extLst>
            </xdr:cNvPr>
            <xdr:cNvSpPr/>
          </xdr:nvSpPr>
          <xdr:spPr>
            <a:xfrm>
              <a:off x="23746692" y="914400"/>
              <a:ext cx="7010400" cy="440574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2" name="Rechthoek 51">
              <a:extLst>
                <a:ext uri="{FF2B5EF4-FFF2-40B4-BE49-F238E27FC236}">
                  <a16:creationId xmlns:a16="http://schemas.microsoft.com/office/drawing/2014/main" id="{3DF6D3AA-5331-4E77-B4A3-89E3A6F1EFB7}"/>
                </a:ext>
              </a:extLst>
            </xdr:cNvPr>
            <xdr:cNvSpPr/>
          </xdr:nvSpPr>
          <xdr:spPr>
            <a:xfrm>
              <a:off x="152401" y="2352164"/>
              <a:ext cx="10256117" cy="1902836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3" name="Rechthoek 52">
              <a:extLst>
                <a:ext uri="{FF2B5EF4-FFF2-40B4-BE49-F238E27FC236}">
                  <a16:creationId xmlns:a16="http://schemas.microsoft.com/office/drawing/2014/main" id="{13871F2A-946D-4F09-A7CF-E5ACFEA0D8DA}"/>
                </a:ext>
              </a:extLst>
            </xdr:cNvPr>
            <xdr:cNvSpPr/>
          </xdr:nvSpPr>
          <xdr:spPr>
            <a:xfrm>
              <a:off x="10381329" y="19168609"/>
              <a:ext cx="9529055" cy="214596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grpSp>
        <xdr:nvGrpSpPr>
          <xdr:cNvPr id="68" name="Groep 67">
            <a:extLst>
              <a:ext uri="{FF2B5EF4-FFF2-40B4-BE49-F238E27FC236}">
                <a16:creationId xmlns:a16="http://schemas.microsoft.com/office/drawing/2014/main" id="{55FA5BAE-E227-496F-B6E3-DEDBE3010D5A}"/>
              </a:ext>
            </a:extLst>
          </xdr:cNvPr>
          <xdr:cNvGrpSpPr/>
        </xdr:nvGrpSpPr>
        <xdr:grpSpPr>
          <a:xfrm>
            <a:off x="10211515" y="4239491"/>
            <a:ext cx="9761978" cy="15039108"/>
            <a:chOff x="10211515" y="4239491"/>
            <a:chExt cx="9761978" cy="15039108"/>
          </a:xfrm>
          <a:grpFill/>
        </xdr:grpSpPr>
        <xdr:grpSp>
          <xdr:nvGrpSpPr>
            <xdr:cNvPr id="54" name="Groep 53">
              <a:extLst>
                <a:ext uri="{FF2B5EF4-FFF2-40B4-BE49-F238E27FC236}">
                  <a16:creationId xmlns:a16="http://schemas.microsoft.com/office/drawing/2014/main" id="{266805CC-531F-4C84-BC22-41D1EF1727AE}"/>
                </a:ext>
              </a:extLst>
            </xdr:cNvPr>
            <xdr:cNvGrpSpPr/>
          </xdr:nvGrpSpPr>
          <xdr:grpSpPr>
            <a:xfrm>
              <a:off x="10211515" y="6794755"/>
              <a:ext cx="9761978" cy="12483844"/>
              <a:chOff x="10059115" y="6827412"/>
              <a:chExt cx="9761978" cy="12483844"/>
            </a:xfrm>
            <a:grpFill/>
          </xdr:grpSpPr>
          <xdr:sp macro="" textlink="">
            <xdr:nvSpPr>
              <xdr:cNvPr id="55" name="Rechthoek 54">
                <a:extLst>
                  <a:ext uri="{FF2B5EF4-FFF2-40B4-BE49-F238E27FC236}">
                    <a16:creationId xmlns:a16="http://schemas.microsoft.com/office/drawing/2014/main" id="{BD9A3698-253B-4ED1-AC1A-7B85D1BF3229}"/>
                  </a:ext>
                </a:extLst>
              </xdr:cNvPr>
              <xdr:cNvSpPr/>
            </xdr:nvSpPr>
            <xdr:spPr>
              <a:xfrm>
                <a:off x="10203648" y="6827412"/>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6" name="Rechthoek 55">
                <a:extLst>
                  <a:ext uri="{FF2B5EF4-FFF2-40B4-BE49-F238E27FC236}">
                    <a16:creationId xmlns:a16="http://schemas.microsoft.com/office/drawing/2014/main" id="{D91C2407-48D5-4E2F-B4E3-22D2ABBE6098}"/>
                  </a:ext>
                </a:extLst>
              </xdr:cNvPr>
              <xdr:cNvSpPr/>
            </xdr:nvSpPr>
            <xdr:spPr>
              <a:xfrm>
                <a:off x="10255580" y="7690159"/>
                <a:ext cx="9529055" cy="17031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7" name="Rechthoek 56">
                <a:extLst>
                  <a:ext uri="{FF2B5EF4-FFF2-40B4-BE49-F238E27FC236}">
                    <a16:creationId xmlns:a16="http://schemas.microsoft.com/office/drawing/2014/main" id="{3B483A5D-847F-4831-8E08-F000095ED503}"/>
                  </a:ext>
                </a:extLst>
              </xdr:cNvPr>
              <xdr:cNvSpPr/>
            </xdr:nvSpPr>
            <xdr:spPr>
              <a:xfrm>
                <a:off x="10199914" y="9675421"/>
                <a:ext cx="9601473" cy="17812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8" name="Rechthoek 57">
                <a:extLst>
                  <a:ext uri="{FF2B5EF4-FFF2-40B4-BE49-F238E27FC236}">
                    <a16:creationId xmlns:a16="http://schemas.microsoft.com/office/drawing/2014/main" id="{A24E996F-FE93-4696-9804-81834C99F614}"/>
                  </a:ext>
                </a:extLst>
              </xdr:cNvPr>
              <xdr:cNvSpPr/>
            </xdr:nvSpPr>
            <xdr:spPr>
              <a:xfrm>
                <a:off x="10059115" y="11094165"/>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59" name="Rechthoek 58">
                <a:extLst>
                  <a:ext uri="{FF2B5EF4-FFF2-40B4-BE49-F238E27FC236}">
                    <a16:creationId xmlns:a16="http://schemas.microsoft.com/office/drawing/2014/main" id="{AAB89EDE-644C-4F5D-86AC-484E5053004E}"/>
                  </a:ext>
                </a:extLst>
              </xdr:cNvPr>
              <xdr:cNvSpPr/>
            </xdr:nvSpPr>
            <xdr:spPr>
              <a:xfrm>
                <a:off x="10095574" y="11943530"/>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60" name="Rechthoek 59">
                <a:extLst>
                  <a:ext uri="{FF2B5EF4-FFF2-40B4-BE49-F238E27FC236}">
                    <a16:creationId xmlns:a16="http://schemas.microsoft.com/office/drawing/2014/main" id="{2C97FCF8-52D3-4EEC-825B-5037865CB837}"/>
                  </a:ext>
                </a:extLst>
              </xdr:cNvPr>
              <xdr:cNvSpPr/>
            </xdr:nvSpPr>
            <xdr:spPr>
              <a:xfrm>
                <a:off x="10200906" y="12737674"/>
                <a:ext cx="9529055" cy="19356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61" name="Rechthoek 60">
                <a:extLst>
                  <a:ext uri="{FF2B5EF4-FFF2-40B4-BE49-F238E27FC236}">
                    <a16:creationId xmlns:a16="http://schemas.microsoft.com/office/drawing/2014/main" id="{31C9F9ED-F813-492F-982E-B1228BF748D0}"/>
                  </a:ext>
                </a:extLst>
              </xdr:cNvPr>
              <xdr:cNvSpPr/>
            </xdr:nvSpPr>
            <xdr:spPr>
              <a:xfrm>
                <a:off x="10166600" y="14014295"/>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62" name="Rechthoek 61">
                <a:extLst>
                  <a:ext uri="{FF2B5EF4-FFF2-40B4-BE49-F238E27FC236}">
                    <a16:creationId xmlns:a16="http://schemas.microsoft.com/office/drawing/2014/main" id="{DFB8B17A-2BCC-42EB-BD72-DF06AB4D0BFB}"/>
                  </a:ext>
                </a:extLst>
              </xdr:cNvPr>
              <xdr:cNvSpPr/>
            </xdr:nvSpPr>
            <xdr:spPr>
              <a:xfrm>
                <a:off x="10237990" y="15211336"/>
                <a:ext cx="9529055" cy="1130261"/>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63" name="Rechthoek 62">
                <a:extLst>
                  <a:ext uri="{FF2B5EF4-FFF2-40B4-BE49-F238E27FC236}">
                    <a16:creationId xmlns:a16="http://schemas.microsoft.com/office/drawing/2014/main" id="{B711FA16-E58E-4305-A52B-58D34CE8722B}"/>
                  </a:ext>
                </a:extLst>
              </xdr:cNvPr>
              <xdr:cNvSpPr/>
            </xdr:nvSpPr>
            <xdr:spPr>
              <a:xfrm>
                <a:off x="10230455" y="16920673"/>
                <a:ext cx="9529055" cy="343659"/>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64" name="Rechthoek 63">
                <a:extLst>
                  <a:ext uri="{FF2B5EF4-FFF2-40B4-BE49-F238E27FC236}">
                    <a16:creationId xmlns:a16="http://schemas.microsoft.com/office/drawing/2014/main" id="{816A20DB-3C19-42E9-BEB2-4E8C09999863}"/>
                  </a:ext>
                </a:extLst>
              </xdr:cNvPr>
              <xdr:cNvSpPr/>
            </xdr:nvSpPr>
            <xdr:spPr>
              <a:xfrm>
                <a:off x="10292038" y="14768513"/>
                <a:ext cx="9529055" cy="9928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65" name="Rechthoek 64">
                <a:extLst>
                  <a:ext uri="{FF2B5EF4-FFF2-40B4-BE49-F238E27FC236}">
                    <a16:creationId xmlns:a16="http://schemas.microsoft.com/office/drawing/2014/main" id="{6D58DD67-A589-4E6A-9E50-7301D5264022}"/>
                  </a:ext>
                </a:extLst>
              </xdr:cNvPr>
              <xdr:cNvSpPr/>
            </xdr:nvSpPr>
            <xdr:spPr>
              <a:xfrm>
                <a:off x="10187444" y="17830998"/>
                <a:ext cx="9469978" cy="34814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66" name="Rechthoek 65">
                <a:extLst>
                  <a:ext uri="{FF2B5EF4-FFF2-40B4-BE49-F238E27FC236}">
                    <a16:creationId xmlns:a16="http://schemas.microsoft.com/office/drawing/2014/main" id="{DA276D41-C485-4502-9BA0-506AFCD57ABC}"/>
                  </a:ext>
                </a:extLst>
              </xdr:cNvPr>
              <xdr:cNvSpPr/>
            </xdr:nvSpPr>
            <xdr:spPr>
              <a:xfrm>
                <a:off x="10212187" y="18750543"/>
                <a:ext cx="9469978" cy="560713"/>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sp macro="" textlink="">
          <xdr:nvSpPr>
            <xdr:cNvPr id="67" name="Rechthoek 66">
              <a:extLst>
                <a:ext uri="{FF2B5EF4-FFF2-40B4-BE49-F238E27FC236}">
                  <a16:creationId xmlns:a16="http://schemas.microsoft.com/office/drawing/2014/main" id="{E10EFD35-37A6-40EC-A6A7-730DDEFD8C70}"/>
                </a:ext>
              </a:extLst>
            </xdr:cNvPr>
            <xdr:cNvSpPr/>
          </xdr:nvSpPr>
          <xdr:spPr>
            <a:xfrm>
              <a:off x="10293927" y="4239491"/>
              <a:ext cx="9587346" cy="135774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grpSp>
    <xdr:clientData/>
  </xdr:twoCellAnchor>
  <xdr:twoCellAnchor>
    <xdr:from>
      <xdr:col>0</xdr:col>
      <xdr:colOff>55418</xdr:colOff>
      <xdr:row>1</xdr:row>
      <xdr:rowOff>55419</xdr:rowOff>
    </xdr:from>
    <xdr:to>
      <xdr:col>8</xdr:col>
      <xdr:colOff>27709</xdr:colOff>
      <xdr:row>122</xdr:row>
      <xdr:rowOff>166254</xdr:rowOff>
    </xdr:to>
    <xdr:sp macro="" textlink="">
      <xdr:nvSpPr>
        <xdr:cNvPr id="73" name="Rechthoek 72">
          <a:extLst>
            <a:ext uri="{FF2B5EF4-FFF2-40B4-BE49-F238E27FC236}">
              <a16:creationId xmlns:a16="http://schemas.microsoft.com/office/drawing/2014/main" id="{742F090A-FFFB-4DDD-B4A2-B3B6617311A0}"/>
            </a:ext>
          </a:extLst>
        </xdr:cNvPr>
        <xdr:cNvSpPr/>
      </xdr:nvSpPr>
      <xdr:spPr>
        <a:xfrm>
          <a:off x="55418" y="928255"/>
          <a:ext cx="858982" cy="26337490"/>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nl-NL" sz="1100"/>
        </a:p>
      </xdr:txBody>
    </xdr:sp>
    <xdr:clientData/>
  </xdr:twoCellAnchor>
  <xdr:twoCellAnchor>
    <xdr:from>
      <xdr:col>42</xdr:col>
      <xdr:colOff>55418</xdr:colOff>
      <xdr:row>1</xdr:row>
      <xdr:rowOff>27708</xdr:rowOff>
    </xdr:from>
    <xdr:to>
      <xdr:col>42</xdr:col>
      <xdr:colOff>332509</xdr:colOff>
      <xdr:row>101</xdr:row>
      <xdr:rowOff>152399</xdr:rowOff>
    </xdr:to>
    <xdr:sp macro="" textlink="">
      <xdr:nvSpPr>
        <xdr:cNvPr id="74" name="Rechthoek 73">
          <a:extLst>
            <a:ext uri="{FF2B5EF4-FFF2-40B4-BE49-F238E27FC236}">
              <a16:creationId xmlns:a16="http://schemas.microsoft.com/office/drawing/2014/main" id="{7E9D4318-7676-4BB0-9B0C-CB94FA19E8C4}"/>
            </a:ext>
          </a:extLst>
        </xdr:cNvPr>
        <xdr:cNvSpPr/>
      </xdr:nvSpPr>
      <xdr:spPr>
        <a:xfrm>
          <a:off x="23608145" y="900544"/>
          <a:ext cx="277091" cy="22569055"/>
        </a:xfrm>
        <a:prstGeom prst="rect">
          <a:avLst/>
        </a:prstGeom>
        <a:solidFill>
          <a:srgbClr val="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5</xdr:col>
      <xdr:colOff>69274</xdr:colOff>
      <xdr:row>79</xdr:row>
      <xdr:rowOff>69272</xdr:rowOff>
    </xdr:from>
    <xdr:to>
      <xdr:col>62</xdr:col>
      <xdr:colOff>346364</xdr:colOff>
      <xdr:row>104</xdr:row>
      <xdr:rowOff>27709</xdr:rowOff>
    </xdr:to>
    <xdr:sp macro="" textlink="">
      <xdr:nvSpPr>
        <xdr:cNvPr id="75" name="Rechthoek 74">
          <a:extLst>
            <a:ext uri="{FF2B5EF4-FFF2-40B4-BE49-F238E27FC236}">
              <a16:creationId xmlns:a16="http://schemas.microsoft.com/office/drawing/2014/main" id="{6CE2A8CA-47C3-4F9B-BC18-5994538D4709}"/>
            </a:ext>
          </a:extLst>
        </xdr:cNvPr>
        <xdr:cNvSpPr/>
      </xdr:nvSpPr>
      <xdr:spPr>
        <a:xfrm>
          <a:off x="623456" y="19285527"/>
          <a:ext cx="43863490" cy="4599709"/>
        </a:xfrm>
        <a:prstGeom prst="rect">
          <a:avLst/>
        </a:prstGeom>
        <a:solidFill>
          <a:srgbClr val="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2020</xdr:col>
      <xdr:colOff>263236</xdr:colOff>
      <xdr:row>0</xdr:row>
      <xdr:rowOff>0</xdr:rowOff>
    </xdr:from>
    <xdr:to>
      <xdr:col>2059</xdr:col>
      <xdr:colOff>332510</xdr:colOff>
      <xdr:row>7</xdr:row>
      <xdr:rowOff>138545</xdr:rowOff>
    </xdr:to>
    <xdr:sp macro="" textlink="">
      <xdr:nvSpPr>
        <xdr:cNvPr id="76" name="Rechthoek 75">
          <a:extLst>
            <a:ext uri="{FF2B5EF4-FFF2-40B4-BE49-F238E27FC236}">
              <a16:creationId xmlns:a16="http://schemas.microsoft.com/office/drawing/2014/main" id="{817EA4C3-8812-4EF4-9DB3-411AB250FC26}"/>
            </a:ext>
          </a:extLst>
        </xdr:cNvPr>
        <xdr:cNvSpPr/>
      </xdr:nvSpPr>
      <xdr:spPr>
        <a:xfrm>
          <a:off x="1234952618" y="0"/>
          <a:ext cx="5902037" cy="3380509"/>
        </a:xfrm>
        <a:prstGeom prst="rect">
          <a:avLst/>
        </a:prstGeom>
        <a:solidFill>
          <a:srgbClr val="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12</xdr:col>
      <xdr:colOff>13855</xdr:colOff>
      <xdr:row>7</xdr:row>
      <xdr:rowOff>55418</xdr:rowOff>
    </xdr:from>
    <xdr:to>
      <xdr:col>14</xdr:col>
      <xdr:colOff>13854</xdr:colOff>
      <xdr:row>8</xdr:row>
      <xdr:rowOff>96982</xdr:rowOff>
    </xdr:to>
    <xdr:sp macro="" textlink="">
      <xdr:nvSpPr>
        <xdr:cNvPr id="77" name="Rechthoek 76">
          <a:extLst>
            <a:ext uri="{FF2B5EF4-FFF2-40B4-BE49-F238E27FC236}">
              <a16:creationId xmlns:a16="http://schemas.microsoft.com/office/drawing/2014/main" id="{9146FF8E-0CC2-48B3-BA73-7ABB2F2D4000}"/>
            </a:ext>
          </a:extLst>
        </xdr:cNvPr>
        <xdr:cNvSpPr/>
      </xdr:nvSpPr>
      <xdr:spPr>
        <a:xfrm>
          <a:off x="10252364" y="3297382"/>
          <a:ext cx="9434945" cy="235527"/>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wsDr>
</file>

<file path=xl/drawings/drawing8.xml><?xml version="1.0" encoding="utf-8"?>
<xdr:wsDr xmlns:xdr="http://schemas.openxmlformats.org/drawingml/2006/spreadsheetDrawing" xmlns:a="http://schemas.openxmlformats.org/drawingml/2006/main">
  <xdr:oneCellAnchor>
    <xdr:from>
      <xdr:col>29</xdr:col>
      <xdr:colOff>120967</xdr:colOff>
      <xdr:row>49</xdr:row>
      <xdr:rowOff>170497</xdr:rowOff>
    </xdr:from>
    <xdr:ext cx="184731" cy="264560"/>
    <xdr:sp macro="" textlink="">
      <xdr:nvSpPr>
        <xdr:cNvPr id="2" name="Tekstvak 1">
          <a:extLst>
            <a:ext uri="{FF2B5EF4-FFF2-40B4-BE49-F238E27FC236}">
              <a16:creationId xmlns:a16="http://schemas.microsoft.com/office/drawing/2014/main" id="{51C58E8D-5842-4EF1-8C63-2FA941F6B50F}"/>
            </a:ext>
          </a:extLst>
        </xdr:cNvPr>
        <xdr:cNvSpPr txBox="1"/>
      </xdr:nvSpPr>
      <xdr:spPr>
        <a:xfrm>
          <a:off x="19560540" y="15270480"/>
          <a:ext cx="184731" cy="264560"/>
        </a:xfrm>
        <a:prstGeom prst="rect">
          <a:avLst/>
        </a:prstGeom>
        <a:solidFill>
          <a:srgbClr val="FFFFFF">
            <a:alpha val="1961"/>
          </a:srgbClr>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nl-NL" sz="1100"/>
        </a:p>
      </xdr:txBody>
    </xdr:sp>
    <xdr:clientData/>
  </xdr:oneCellAnchor>
  <xdr:oneCellAnchor>
    <xdr:from>
      <xdr:col>2024</xdr:col>
      <xdr:colOff>357187</xdr:colOff>
      <xdr:row>38</xdr:row>
      <xdr:rowOff>95249</xdr:rowOff>
    </xdr:from>
    <xdr:ext cx="1262062" cy="805816"/>
    <xdr:sp macro="" textlink="">
      <xdr:nvSpPr>
        <xdr:cNvPr id="3" name="Tekstvak 2">
          <a:extLst>
            <a:ext uri="{FF2B5EF4-FFF2-40B4-BE49-F238E27FC236}">
              <a16:creationId xmlns:a16="http://schemas.microsoft.com/office/drawing/2014/main" id="{03929AEF-FE87-47BE-9C27-A77DD3423990}"/>
            </a:ext>
          </a:extLst>
        </xdr:cNvPr>
        <xdr:cNvSpPr txBox="1"/>
      </xdr:nvSpPr>
      <xdr:spPr>
        <a:xfrm>
          <a:off x="1236062107" y="13072109"/>
          <a:ext cx="1262062" cy="805816"/>
        </a:xfrm>
        <a:prstGeom prst="rect">
          <a:avLst/>
        </a:prstGeom>
        <a:solidFill>
          <a:srgbClr val="FFFFFF">
            <a:alpha val="1961"/>
          </a:srgbClr>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nl-NL" sz="4000"/>
        </a:p>
      </xdr:txBody>
    </xdr:sp>
    <xdr:clientData/>
  </xdr:oneCellAnchor>
  <xdr:twoCellAnchor>
    <xdr:from>
      <xdr:col>69</xdr:col>
      <xdr:colOff>536864</xdr:colOff>
      <xdr:row>44</xdr:row>
      <xdr:rowOff>809969</xdr:rowOff>
    </xdr:from>
    <xdr:to>
      <xdr:col>79</xdr:col>
      <xdr:colOff>108933</xdr:colOff>
      <xdr:row>62</xdr:row>
      <xdr:rowOff>48836</xdr:rowOff>
    </xdr:to>
    <xdr:sp macro="" textlink="">
      <xdr:nvSpPr>
        <xdr:cNvPr id="4" name="Rechthoek 3">
          <a:extLst>
            <a:ext uri="{FF2B5EF4-FFF2-40B4-BE49-F238E27FC236}">
              <a16:creationId xmlns:a16="http://schemas.microsoft.com/office/drawing/2014/main" id="{FB481426-7C73-49E1-9B9B-F7D4901BEFC2}"/>
            </a:ext>
          </a:extLst>
        </xdr:cNvPr>
        <xdr:cNvSpPr/>
      </xdr:nvSpPr>
      <xdr:spPr>
        <a:xfrm>
          <a:off x="45685364" y="15272729"/>
          <a:ext cx="5668069" cy="46587"/>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9</xdr:col>
      <xdr:colOff>46760</xdr:colOff>
      <xdr:row>20</xdr:row>
      <xdr:rowOff>190500</xdr:rowOff>
    </xdr:from>
    <xdr:to>
      <xdr:col>9</xdr:col>
      <xdr:colOff>6051665</xdr:colOff>
      <xdr:row>39</xdr:row>
      <xdr:rowOff>495300</xdr:rowOff>
    </xdr:to>
    <xdr:graphicFrame macro="">
      <xdr:nvGraphicFramePr>
        <xdr:cNvPr id="5" name="Grafiek 4">
          <a:extLst>
            <a:ext uri="{FF2B5EF4-FFF2-40B4-BE49-F238E27FC236}">
              <a16:creationId xmlns:a16="http://schemas.microsoft.com/office/drawing/2014/main" id="{E20A1EE1-8B21-4085-8131-D22164A028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37</xdr:col>
      <xdr:colOff>930234</xdr:colOff>
      <xdr:row>18</xdr:row>
      <xdr:rowOff>0</xdr:rowOff>
    </xdr:from>
    <xdr:to>
      <xdr:col>42</xdr:col>
      <xdr:colOff>27710</xdr:colOff>
      <xdr:row>19</xdr:row>
      <xdr:rowOff>110837</xdr:rowOff>
    </xdr:to>
    <xdr:sp macro="" textlink="">
      <xdr:nvSpPr>
        <xdr:cNvPr id="6" name="Rechthoek 5">
          <a:extLst>
            <a:ext uri="{FF2B5EF4-FFF2-40B4-BE49-F238E27FC236}">
              <a16:creationId xmlns:a16="http://schemas.microsoft.com/office/drawing/2014/main" id="{9A132291-29EC-4FA9-B955-6A882C9EC845}"/>
            </a:ext>
          </a:extLst>
        </xdr:cNvPr>
        <xdr:cNvSpPr/>
      </xdr:nvSpPr>
      <xdr:spPr>
        <a:xfrm>
          <a:off x="20490774" y="4450080"/>
          <a:ext cx="2869376" cy="0"/>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57</xdr:col>
      <xdr:colOff>148590</xdr:colOff>
      <xdr:row>21</xdr:row>
      <xdr:rowOff>365761</xdr:rowOff>
    </xdr:from>
    <xdr:to>
      <xdr:col>72</xdr:col>
      <xdr:colOff>91440</xdr:colOff>
      <xdr:row>34</xdr:row>
      <xdr:rowOff>304802</xdr:rowOff>
    </xdr:to>
    <xdr:graphicFrame macro="">
      <xdr:nvGraphicFramePr>
        <xdr:cNvPr id="7" name="Grafiek 6">
          <a:extLst>
            <a:ext uri="{FF2B5EF4-FFF2-40B4-BE49-F238E27FC236}">
              <a16:creationId xmlns:a16="http://schemas.microsoft.com/office/drawing/2014/main" id="{591190C4-96DF-4786-80D3-CB408519BF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19050</xdr:colOff>
      <xdr:row>40</xdr:row>
      <xdr:rowOff>114300</xdr:rowOff>
    </xdr:from>
    <xdr:to>
      <xdr:col>9</xdr:col>
      <xdr:colOff>6115050</xdr:colOff>
      <xdr:row>77</xdr:row>
      <xdr:rowOff>12122</xdr:rowOff>
    </xdr:to>
    <xdr:graphicFrame macro="">
      <xdr:nvGraphicFramePr>
        <xdr:cNvPr id="8" name="Grafiek 7">
          <a:extLst>
            <a:ext uri="{FF2B5EF4-FFF2-40B4-BE49-F238E27FC236}">
              <a16:creationId xmlns:a16="http://schemas.microsoft.com/office/drawing/2014/main" id="{D4C7545F-96C9-4F6F-A1AB-3D1F83CF83B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10</xdr:col>
      <xdr:colOff>341171</xdr:colOff>
      <xdr:row>1</xdr:row>
      <xdr:rowOff>228601</xdr:rowOff>
    </xdr:from>
    <xdr:to>
      <xdr:col>11</xdr:col>
      <xdr:colOff>2437160</xdr:colOff>
      <xdr:row>1</xdr:row>
      <xdr:rowOff>1025303</xdr:rowOff>
    </xdr:to>
    <xdr:pic>
      <xdr:nvPicPr>
        <xdr:cNvPr id="9" name="Afbeelding 8">
          <a:extLst>
            <a:ext uri="{FF2B5EF4-FFF2-40B4-BE49-F238E27FC236}">
              <a16:creationId xmlns:a16="http://schemas.microsoft.com/office/drawing/2014/main" id="{AB69759B-3D41-442F-A2E8-2C1F91CB11B0}"/>
            </a:ext>
          </a:extLst>
        </xdr:cNvPr>
        <xdr:cNvPicPr>
          <a:picLocks noChangeAspect="1"/>
        </xdr:cNvPicPr>
      </xdr:nvPicPr>
      <xdr:blipFill rotWithShape="1">
        <a:blip xmlns:r="http://schemas.openxmlformats.org/officeDocument/2006/relationships" r:embed="rId4"/>
        <a:srcRect b="27721"/>
        <a:stretch/>
      </xdr:blipFill>
      <xdr:spPr>
        <a:xfrm>
          <a:off x="7496351" y="1104901"/>
          <a:ext cx="2536563" cy="796702"/>
        </a:xfrm>
        <a:prstGeom prst="rect">
          <a:avLst/>
        </a:prstGeom>
        <a:solidFill>
          <a:srgbClr val="FFFFFF">
            <a:alpha val="1961"/>
          </a:srgbClr>
        </a:solidFill>
        <a:ln>
          <a:noFill/>
        </a:ln>
      </xdr:spPr>
    </xdr:pic>
    <xdr:clientData/>
  </xdr:twoCellAnchor>
  <xdr:twoCellAnchor>
    <xdr:from>
      <xdr:col>44</xdr:col>
      <xdr:colOff>207818</xdr:colOff>
      <xdr:row>23</xdr:row>
      <xdr:rowOff>210956</xdr:rowOff>
    </xdr:from>
    <xdr:to>
      <xdr:col>79</xdr:col>
      <xdr:colOff>116377</xdr:colOff>
      <xdr:row>85</xdr:row>
      <xdr:rowOff>91706</xdr:rowOff>
    </xdr:to>
    <xdr:grpSp>
      <xdr:nvGrpSpPr>
        <xdr:cNvPr id="14" name="Groep 13">
          <a:extLst>
            <a:ext uri="{FF2B5EF4-FFF2-40B4-BE49-F238E27FC236}">
              <a16:creationId xmlns:a16="http://schemas.microsoft.com/office/drawing/2014/main" id="{4F0D6273-F621-4255-B333-423942B433E3}"/>
            </a:ext>
          </a:extLst>
        </xdr:cNvPr>
        <xdr:cNvGrpSpPr/>
      </xdr:nvGrpSpPr>
      <xdr:grpSpPr>
        <a:xfrm>
          <a:off x="30757091" y="5835901"/>
          <a:ext cx="20773504" cy="14608132"/>
          <a:chOff x="10165080" y="5805748"/>
          <a:chExt cx="40675560" cy="14890172"/>
        </a:xfrm>
        <a:solidFill>
          <a:srgbClr val="FFFFFF">
            <a:alpha val="1961"/>
          </a:srgbClr>
        </a:solidFill>
      </xdr:grpSpPr>
      <xdr:sp macro="" textlink="">
        <xdr:nvSpPr>
          <xdr:cNvPr id="19" name="Rechthoek 18">
            <a:extLst>
              <a:ext uri="{FF2B5EF4-FFF2-40B4-BE49-F238E27FC236}">
                <a16:creationId xmlns:a16="http://schemas.microsoft.com/office/drawing/2014/main" id="{A19587D3-4766-4F63-8C34-7FF6A921EB49}"/>
              </a:ext>
            </a:extLst>
          </xdr:cNvPr>
          <xdr:cNvSpPr/>
        </xdr:nvSpPr>
        <xdr:spPr>
          <a:xfrm>
            <a:off x="10165080" y="18180629"/>
            <a:ext cx="13213080" cy="320732"/>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20" name="Rechthoek 19">
            <a:extLst>
              <a:ext uri="{FF2B5EF4-FFF2-40B4-BE49-F238E27FC236}">
                <a16:creationId xmlns:a16="http://schemas.microsoft.com/office/drawing/2014/main" id="{AAE25B9F-DE16-4276-A621-0B7DB41992B5}"/>
              </a:ext>
            </a:extLst>
          </xdr:cNvPr>
          <xdr:cNvSpPr/>
        </xdr:nvSpPr>
        <xdr:spPr>
          <a:xfrm>
            <a:off x="10226040" y="17235749"/>
            <a:ext cx="13213080" cy="320732"/>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21" name="Rechthoek 20">
            <a:extLst>
              <a:ext uri="{FF2B5EF4-FFF2-40B4-BE49-F238E27FC236}">
                <a16:creationId xmlns:a16="http://schemas.microsoft.com/office/drawing/2014/main" id="{FC4D418B-DBB2-4E17-950A-0801FC2D383F}"/>
              </a:ext>
            </a:extLst>
          </xdr:cNvPr>
          <xdr:cNvSpPr/>
        </xdr:nvSpPr>
        <xdr:spPr>
          <a:xfrm>
            <a:off x="10222230" y="19155988"/>
            <a:ext cx="24250650" cy="1498021"/>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22" name="Rechthoek 21">
            <a:extLst>
              <a:ext uri="{FF2B5EF4-FFF2-40B4-BE49-F238E27FC236}">
                <a16:creationId xmlns:a16="http://schemas.microsoft.com/office/drawing/2014/main" id="{BCA4524F-9C08-489A-BED1-28746C6DB579}"/>
              </a:ext>
            </a:extLst>
          </xdr:cNvPr>
          <xdr:cNvSpPr/>
        </xdr:nvSpPr>
        <xdr:spPr>
          <a:xfrm>
            <a:off x="34503360" y="5805748"/>
            <a:ext cx="16337280" cy="14890172"/>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clientData/>
  </xdr:twoCellAnchor>
  <xdr:twoCellAnchor>
    <xdr:from>
      <xdr:col>2020</xdr:col>
      <xdr:colOff>0</xdr:colOff>
      <xdr:row>0</xdr:row>
      <xdr:rowOff>0</xdr:rowOff>
    </xdr:from>
    <xdr:to>
      <xdr:col>2072</xdr:col>
      <xdr:colOff>429491</xdr:colOff>
      <xdr:row>90</xdr:row>
      <xdr:rowOff>110836</xdr:rowOff>
    </xdr:to>
    <xdr:sp macro="" textlink="">
      <xdr:nvSpPr>
        <xdr:cNvPr id="26" name="Rechthoek 25">
          <a:extLst>
            <a:ext uri="{FF2B5EF4-FFF2-40B4-BE49-F238E27FC236}">
              <a16:creationId xmlns:a16="http://schemas.microsoft.com/office/drawing/2014/main" id="{D97F5B81-40E8-4C12-B278-CBE433B7004A}"/>
            </a:ext>
          </a:extLst>
        </xdr:cNvPr>
        <xdr:cNvSpPr/>
      </xdr:nvSpPr>
      <xdr:spPr>
        <a:xfrm>
          <a:off x="1234647818" y="0"/>
          <a:ext cx="9337964" cy="21446836"/>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0</xdr:col>
      <xdr:colOff>0</xdr:colOff>
      <xdr:row>0</xdr:row>
      <xdr:rowOff>0</xdr:rowOff>
    </xdr:from>
    <xdr:to>
      <xdr:col>2138</xdr:col>
      <xdr:colOff>388323</xdr:colOff>
      <xdr:row>128</xdr:row>
      <xdr:rowOff>152399</xdr:rowOff>
    </xdr:to>
    <xdr:grpSp>
      <xdr:nvGrpSpPr>
        <xdr:cNvPr id="81" name="Groep 80">
          <a:extLst>
            <a:ext uri="{FF2B5EF4-FFF2-40B4-BE49-F238E27FC236}">
              <a16:creationId xmlns:a16="http://schemas.microsoft.com/office/drawing/2014/main" id="{DEFADD46-FC7B-4AC6-AEC7-1E5BE687CB31}"/>
            </a:ext>
          </a:extLst>
        </xdr:cNvPr>
        <xdr:cNvGrpSpPr/>
      </xdr:nvGrpSpPr>
      <xdr:grpSpPr>
        <a:xfrm>
          <a:off x="0" y="0"/>
          <a:ext cx="1284178214" cy="28332544"/>
          <a:chOff x="152400" y="0"/>
          <a:chExt cx="1284178214" cy="28332544"/>
        </a:xfrm>
        <a:solidFill>
          <a:srgbClr val="FFFFFF">
            <a:alpha val="1961"/>
          </a:srgbClr>
        </a:solidFill>
      </xdr:grpSpPr>
      <xdr:sp macro="" textlink="">
        <xdr:nvSpPr>
          <xdr:cNvPr id="82" name="Tekstvak 81">
            <a:extLst>
              <a:ext uri="{FF2B5EF4-FFF2-40B4-BE49-F238E27FC236}">
                <a16:creationId xmlns:a16="http://schemas.microsoft.com/office/drawing/2014/main" id="{C14C0FAB-5B81-4C0E-9373-E4F110FE0067}"/>
              </a:ext>
            </a:extLst>
          </xdr:cNvPr>
          <xdr:cNvSpPr txBox="1"/>
        </xdr:nvSpPr>
        <xdr:spPr>
          <a:xfrm>
            <a:off x="19784291" y="15253855"/>
            <a:ext cx="184731" cy="264560"/>
          </a:xfrm>
          <a:prstGeom prst="rect">
            <a:avLst/>
          </a:prstGeom>
          <a:grp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nl-NL" sz="1100"/>
          </a:p>
        </xdr:txBody>
      </xdr:sp>
      <xdr:sp macro="" textlink="">
        <xdr:nvSpPr>
          <xdr:cNvPr id="83" name="Tekstvak 82">
            <a:extLst>
              <a:ext uri="{FF2B5EF4-FFF2-40B4-BE49-F238E27FC236}">
                <a16:creationId xmlns:a16="http://schemas.microsoft.com/office/drawing/2014/main" id="{C45D82E3-3555-49B1-9E7E-8F9B78266663}"/>
              </a:ext>
            </a:extLst>
          </xdr:cNvPr>
          <xdr:cNvSpPr txBox="1"/>
        </xdr:nvSpPr>
        <xdr:spPr>
          <a:xfrm>
            <a:off x="1236278931" y="13007685"/>
            <a:ext cx="1262062" cy="805816"/>
          </a:xfrm>
          <a:prstGeom prst="rect">
            <a:avLst/>
          </a:prstGeom>
          <a:grp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nl-NL" sz="4000"/>
          </a:p>
        </xdr:txBody>
      </xdr:sp>
      <xdr:sp macro="" textlink="">
        <xdr:nvSpPr>
          <xdr:cNvPr id="84" name="Rechthoek 83">
            <a:extLst>
              <a:ext uri="{FF2B5EF4-FFF2-40B4-BE49-F238E27FC236}">
                <a16:creationId xmlns:a16="http://schemas.microsoft.com/office/drawing/2014/main" id="{C7B939F4-5FE9-4787-BBD0-7A6F858FFF49}"/>
              </a:ext>
            </a:extLst>
          </xdr:cNvPr>
          <xdr:cNvSpPr/>
        </xdr:nvSpPr>
        <xdr:spPr>
          <a:xfrm>
            <a:off x="45896646" y="15251947"/>
            <a:ext cx="5668069" cy="50744"/>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aphicFrame macro="">
        <xdr:nvGraphicFramePr>
          <xdr:cNvPr id="85" name="Grafiek 84">
            <a:extLst>
              <a:ext uri="{FF2B5EF4-FFF2-40B4-BE49-F238E27FC236}">
                <a16:creationId xmlns:a16="http://schemas.microsoft.com/office/drawing/2014/main" id="{50D64D57-AFC1-47E2-86C9-72ABAE71B154}"/>
              </a:ext>
            </a:extLst>
          </xdr:cNvPr>
          <xdr:cNvGraphicFramePr>
            <a:graphicFrameLocks/>
          </xdr:cNvGraphicFramePr>
        </xdr:nvGraphicFramePr>
        <xdr:xfrm>
          <a:off x="1044287" y="4596245"/>
          <a:ext cx="6004905" cy="9324110"/>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86" name="Rechthoek 85">
            <a:extLst>
              <a:ext uri="{FF2B5EF4-FFF2-40B4-BE49-F238E27FC236}">
                <a16:creationId xmlns:a16="http://schemas.microsoft.com/office/drawing/2014/main" id="{9951C6A0-9FD9-427E-B2CF-3BCD06062484}"/>
              </a:ext>
            </a:extLst>
          </xdr:cNvPr>
          <xdr:cNvSpPr/>
        </xdr:nvSpPr>
        <xdr:spPr>
          <a:xfrm>
            <a:off x="20714525" y="4405745"/>
            <a:ext cx="2865912" cy="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aphicFrame macro="">
        <xdr:nvGraphicFramePr>
          <xdr:cNvPr id="87" name="Grafiek 86">
            <a:extLst>
              <a:ext uri="{FF2B5EF4-FFF2-40B4-BE49-F238E27FC236}">
                <a16:creationId xmlns:a16="http://schemas.microsoft.com/office/drawing/2014/main" id="{7F1C5A75-54E9-4588-B8E4-C8EA76F4609F}"/>
              </a:ext>
            </a:extLst>
          </xdr:cNvPr>
          <xdr:cNvGraphicFramePr>
            <a:graphicFrameLocks/>
          </xdr:cNvGraphicFramePr>
        </xdr:nvGraphicFramePr>
        <xdr:xfrm>
          <a:off x="41241172" y="5104016"/>
          <a:ext cx="6038850" cy="6492241"/>
        </xdr:xfrm>
        <a:graphic>
          <a:graphicData uri="http://schemas.openxmlformats.org/drawingml/2006/chart">
            <c:chart xmlns:c="http://schemas.openxmlformats.org/drawingml/2006/chart" xmlns:r="http://schemas.openxmlformats.org/officeDocument/2006/relationships" r:id="rId6"/>
          </a:graphicData>
        </a:graphic>
      </xdr:graphicFrame>
      <xdr:graphicFrame macro="">
        <xdr:nvGraphicFramePr>
          <xdr:cNvPr id="88" name="Grafiek 87">
            <a:extLst>
              <a:ext uri="{FF2B5EF4-FFF2-40B4-BE49-F238E27FC236}">
                <a16:creationId xmlns:a16="http://schemas.microsoft.com/office/drawing/2014/main" id="{3540784D-85C9-4DC1-A867-E273BE501A69}"/>
              </a:ext>
            </a:extLst>
          </xdr:cNvPr>
          <xdr:cNvGraphicFramePr>
            <a:graphicFrameLocks/>
          </xdr:cNvGraphicFramePr>
        </xdr:nvGraphicFramePr>
        <xdr:xfrm>
          <a:off x="1016577" y="14051973"/>
          <a:ext cx="6096000" cy="481618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90" name="Rechthoek 89">
            <a:extLst>
              <a:ext uri="{FF2B5EF4-FFF2-40B4-BE49-F238E27FC236}">
                <a16:creationId xmlns:a16="http://schemas.microsoft.com/office/drawing/2014/main" id="{C7DBD3C1-B0D0-442B-BD00-494EAA3BB6D4}"/>
              </a:ext>
            </a:extLst>
          </xdr:cNvPr>
          <xdr:cNvSpPr/>
        </xdr:nvSpPr>
        <xdr:spPr>
          <a:xfrm>
            <a:off x="30895636" y="3751811"/>
            <a:ext cx="20102946" cy="14732924"/>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91" name="Rechthoek 90">
            <a:extLst>
              <a:ext uri="{FF2B5EF4-FFF2-40B4-BE49-F238E27FC236}">
                <a16:creationId xmlns:a16="http://schemas.microsoft.com/office/drawing/2014/main" id="{1ECEC937-C8E1-466D-BE55-FBEA10C19124}"/>
              </a:ext>
            </a:extLst>
          </xdr:cNvPr>
          <xdr:cNvSpPr/>
        </xdr:nvSpPr>
        <xdr:spPr>
          <a:xfrm>
            <a:off x="1233206945" y="0"/>
            <a:ext cx="9337964" cy="2144683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nvGrpSpPr>
          <xdr:cNvPr id="92" name="Groep 91">
            <a:extLst>
              <a:ext uri="{FF2B5EF4-FFF2-40B4-BE49-F238E27FC236}">
                <a16:creationId xmlns:a16="http://schemas.microsoft.com/office/drawing/2014/main" id="{F8701E1E-4DAB-47A5-871C-28BD914E7F43}"/>
              </a:ext>
            </a:extLst>
          </xdr:cNvPr>
          <xdr:cNvGrpSpPr/>
        </xdr:nvGrpSpPr>
        <xdr:grpSpPr>
          <a:xfrm>
            <a:off x="1233206945" y="0"/>
            <a:ext cx="51123669" cy="23192509"/>
            <a:chOff x="0" y="32657"/>
            <a:chExt cx="51123669" cy="23192509"/>
          </a:xfrm>
          <a:grpFill/>
        </xdr:grpSpPr>
        <xdr:sp macro="" textlink="">
          <xdr:nvSpPr>
            <xdr:cNvPr id="116" name="Rechthoek 115">
              <a:extLst>
                <a:ext uri="{FF2B5EF4-FFF2-40B4-BE49-F238E27FC236}">
                  <a16:creationId xmlns:a16="http://schemas.microsoft.com/office/drawing/2014/main" id="{E9F8D205-7BFF-4C72-80B7-7957F85FCE90}"/>
                </a:ext>
              </a:extLst>
            </xdr:cNvPr>
            <xdr:cNvSpPr/>
          </xdr:nvSpPr>
          <xdr:spPr>
            <a:xfrm>
              <a:off x="0" y="32658"/>
              <a:ext cx="30914717" cy="23192508"/>
            </a:xfrm>
            <a:prstGeom prst="rect">
              <a:avLst/>
            </a:prstGeom>
            <a:solidFill>
              <a:srgbClr val="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17" name="Rechthoek 116">
              <a:extLst>
                <a:ext uri="{FF2B5EF4-FFF2-40B4-BE49-F238E27FC236}">
                  <a16:creationId xmlns:a16="http://schemas.microsoft.com/office/drawing/2014/main" id="{6ACBB1AC-62B5-4679-8F5A-D0FAEC201D36}"/>
                </a:ext>
              </a:extLst>
            </xdr:cNvPr>
            <xdr:cNvSpPr/>
          </xdr:nvSpPr>
          <xdr:spPr>
            <a:xfrm>
              <a:off x="30758102" y="32657"/>
              <a:ext cx="20365567" cy="21380531"/>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marL="0" indent="0" algn="l"/>
              <a:endParaRPr lang="nl-NL" sz="1100">
                <a:solidFill>
                  <a:schemeClr val="lt1"/>
                </a:solidFill>
                <a:latin typeface="+mn-lt"/>
                <a:ea typeface="+mn-ea"/>
                <a:cs typeface="+mn-cs"/>
              </a:endParaRPr>
            </a:p>
          </xdr:txBody>
        </xdr:sp>
        <xdr:sp macro="" textlink="">
          <xdr:nvSpPr>
            <xdr:cNvPr id="118" name="Rechthoek 117">
              <a:extLst>
                <a:ext uri="{FF2B5EF4-FFF2-40B4-BE49-F238E27FC236}">
                  <a16:creationId xmlns:a16="http://schemas.microsoft.com/office/drawing/2014/main" id="{C9631509-D3F1-4CBC-B459-CAB541A2F03E}"/>
                </a:ext>
              </a:extLst>
            </xdr:cNvPr>
            <xdr:cNvSpPr/>
          </xdr:nvSpPr>
          <xdr:spPr>
            <a:xfrm>
              <a:off x="19605172" y="2343165"/>
              <a:ext cx="4384918" cy="1902836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19" name="Rechthoek 118">
              <a:extLst>
                <a:ext uri="{FF2B5EF4-FFF2-40B4-BE49-F238E27FC236}">
                  <a16:creationId xmlns:a16="http://schemas.microsoft.com/office/drawing/2014/main" id="{3EE03D81-F6F0-4531-ACA6-F8A5DA7481B7}"/>
                </a:ext>
              </a:extLst>
            </xdr:cNvPr>
            <xdr:cNvSpPr/>
          </xdr:nvSpPr>
          <xdr:spPr>
            <a:xfrm>
              <a:off x="23780337" y="2384822"/>
              <a:ext cx="7148365" cy="344354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20" name="Rechthoek 119">
              <a:extLst>
                <a:ext uri="{FF2B5EF4-FFF2-40B4-BE49-F238E27FC236}">
                  <a16:creationId xmlns:a16="http://schemas.microsoft.com/office/drawing/2014/main" id="{011E6BEB-4CBC-48A8-BBD2-CF9EC8FD227D}"/>
                </a:ext>
              </a:extLst>
            </xdr:cNvPr>
            <xdr:cNvSpPr/>
          </xdr:nvSpPr>
          <xdr:spPr>
            <a:xfrm>
              <a:off x="1" y="2384821"/>
              <a:ext cx="10256117" cy="1902836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21" name="Rechthoek 120">
              <a:extLst>
                <a:ext uri="{FF2B5EF4-FFF2-40B4-BE49-F238E27FC236}">
                  <a16:creationId xmlns:a16="http://schemas.microsoft.com/office/drawing/2014/main" id="{1D73B942-382F-4580-8019-9DDF93EF1AB5}"/>
                </a:ext>
              </a:extLst>
            </xdr:cNvPr>
            <xdr:cNvSpPr/>
          </xdr:nvSpPr>
          <xdr:spPr>
            <a:xfrm>
              <a:off x="10228929" y="19201266"/>
              <a:ext cx="9529055" cy="214596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nvGrpSpPr>
            <xdr:cNvPr id="122" name="Groep 121">
              <a:extLst>
                <a:ext uri="{FF2B5EF4-FFF2-40B4-BE49-F238E27FC236}">
                  <a16:creationId xmlns:a16="http://schemas.microsoft.com/office/drawing/2014/main" id="{5DAA61A7-7CEA-4C3F-A5F3-5964617839F8}"/>
                </a:ext>
              </a:extLst>
            </xdr:cNvPr>
            <xdr:cNvGrpSpPr/>
          </xdr:nvGrpSpPr>
          <xdr:grpSpPr>
            <a:xfrm>
              <a:off x="10059115" y="6827412"/>
              <a:ext cx="9742272" cy="12483844"/>
              <a:chOff x="10059115" y="6827412"/>
              <a:chExt cx="9742272" cy="12483844"/>
            </a:xfrm>
            <a:grpFill/>
          </xdr:grpSpPr>
          <xdr:sp macro="" textlink="">
            <xdr:nvSpPr>
              <xdr:cNvPr id="123" name="Rechthoek 122">
                <a:extLst>
                  <a:ext uri="{FF2B5EF4-FFF2-40B4-BE49-F238E27FC236}">
                    <a16:creationId xmlns:a16="http://schemas.microsoft.com/office/drawing/2014/main" id="{CFECA59B-8744-4EB1-9285-17BC7F06B121}"/>
                  </a:ext>
                </a:extLst>
              </xdr:cNvPr>
              <xdr:cNvSpPr/>
            </xdr:nvSpPr>
            <xdr:spPr>
              <a:xfrm>
                <a:off x="10203648" y="6827412"/>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24" name="Rechthoek 123">
                <a:extLst>
                  <a:ext uri="{FF2B5EF4-FFF2-40B4-BE49-F238E27FC236}">
                    <a16:creationId xmlns:a16="http://schemas.microsoft.com/office/drawing/2014/main" id="{FEF633FB-A51C-4093-8B8A-1353E274953C}"/>
                  </a:ext>
                </a:extLst>
              </xdr:cNvPr>
              <xdr:cNvSpPr/>
            </xdr:nvSpPr>
            <xdr:spPr>
              <a:xfrm>
                <a:off x="10255580" y="7690159"/>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25" name="Rechthoek 124">
                <a:extLst>
                  <a:ext uri="{FF2B5EF4-FFF2-40B4-BE49-F238E27FC236}">
                    <a16:creationId xmlns:a16="http://schemas.microsoft.com/office/drawing/2014/main" id="{623180DE-AB95-4B3B-A78E-A4B1F951D309}"/>
                  </a:ext>
                </a:extLst>
              </xdr:cNvPr>
              <xdr:cNvSpPr/>
            </xdr:nvSpPr>
            <xdr:spPr>
              <a:xfrm>
                <a:off x="10199914" y="9681526"/>
                <a:ext cx="9601473" cy="213587"/>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26" name="Rechthoek 125">
                <a:extLst>
                  <a:ext uri="{FF2B5EF4-FFF2-40B4-BE49-F238E27FC236}">
                    <a16:creationId xmlns:a16="http://schemas.microsoft.com/office/drawing/2014/main" id="{A4159A43-B6C3-4DE1-B2B0-DA3455DECF65}"/>
                  </a:ext>
                </a:extLst>
              </xdr:cNvPr>
              <xdr:cNvSpPr/>
            </xdr:nvSpPr>
            <xdr:spPr>
              <a:xfrm>
                <a:off x="10059115" y="11121875"/>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27" name="Rechthoek 126">
                <a:extLst>
                  <a:ext uri="{FF2B5EF4-FFF2-40B4-BE49-F238E27FC236}">
                    <a16:creationId xmlns:a16="http://schemas.microsoft.com/office/drawing/2014/main" id="{DAC18678-0A14-4839-A244-F91DD50C0D3A}"/>
                  </a:ext>
                </a:extLst>
              </xdr:cNvPr>
              <xdr:cNvSpPr/>
            </xdr:nvSpPr>
            <xdr:spPr>
              <a:xfrm>
                <a:off x="10137137" y="11985093"/>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28" name="Rechthoek 127">
                <a:extLst>
                  <a:ext uri="{FF2B5EF4-FFF2-40B4-BE49-F238E27FC236}">
                    <a16:creationId xmlns:a16="http://schemas.microsoft.com/office/drawing/2014/main" id="{FF9CB39F-91E7-49AC-A84E-DD0C91C44554}"/>
                  </a:ext>
                </a:extLst>
              </xdr:cNvPr>
              <xdr:cNvSpPr/>
            </xdr:nvSpPr>
            <xdr:spPr>
              <a:xfrm>
                <a:off x="10200906" y="12737674"/>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29" name="Rechthoek 128">
                <a:extLst>
                  <a:ext uri="{FF2B5EF4-FFF2-40B4-BE49-F238E27FC236}">
                    <a16:creationId xmlns:a16="http://schemas.microsoft.com/office/drawing/2014/main" id="{C009F870-C5CC-4CFB-A505-33C57F98AD88}"/>
                  </a:ext>
                </a:extLst>
              </xdr:cNvPr>
              <xdr:cNvSpPr/>
            </xdr:nvSpPr>
            <xdr:spPr>
              <a:xfrm>
                <a:off x="10166600" y="14055858"/>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30" name="Rechthoek 129">
                <a:extLst>
                  <a:ext uri="{FF2B5EF4-FFF2-40B4-BE49-F238E27FC236}">
                    <a16:creationId xmlns:a16="http://schemas.microsoft.com/office/drawing/2014/main" id="{F05B1670-77B2-4C8A-9C44-ADDBABAE8967}"/>
                  </a:ext>
                </a:extLst>
              </xdr:cNvPr>
              <xdr:cNvSpPr/>
            </xdr:nvSpPr>
            <xdr:spPr>
              <a:xfrm>
                <a:off x="10237990" y="15211336"/>
                <a:ext cx="9529055" cy="1130261"/>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31" name="Rechthoek 130">
                <a:extLst>
                  <a:ext uri="{FF2B5EF4-FFF2-40B4-BE49-F238E27FC236}">
                    <a16:creationId xmlns:a16="http://schemas.microsoft.com/office/drawing/2014/main" id="{BCF68B92-5236-474B-B664-1E350B9C1A3B}"/>
                  </a:ext>
                </a:extLst>
              </xdr:cNvPr>
              <xdr:cNvSpPr/>
            </xdr:nvSpPr>
            <xdr:spPr>
              <a:xfrm>
                <a:off x="10244310" y="16948382"/>
                <a:ext cx="9529055" cy="343659"/>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32" name="Rechthoek 131">
                <a:extLst>
                  <a:ext uri="{FF2B5EF4-FFF2-40B4-BE49-F238E27FC236}">
                    <a16:creationId xmlns:a16="http://schemas.microsoft.com/office/drawing/2014/main" id="{9452E89C-3669-47F4-A3D1-6B5D6059EDFE}"/>
                  </a:ext>
                </a:extLst>
              </xdr:cNvPr>
              <xdr:cNvSpPr/>
            </xdr:nvSpPr>
            <xdr:spPr>
              <a:xfrm>
                <a:off x="10236620" y="14823931"/>
                <a:ext cx="9529055" cy="9928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33" name="Rechthoek 132">
                <a:extLst>
                  <a:ext uri="{FF2B5EF4-FFF2-40B4-BE49-F238E27FC236}">
                    <a16:creationId xmlns:a16="http://schemas.microsoft.com/office/drawing/2014/main" id="{C6AD5BC2-2C86-4823-9C78-4CE3CAA388D2}"/>
                  </a:ext>
                </a:extLst>
              </xdr:cNvPr>
              <xdr:cNvSpPr/>
            </xdr:nvSpPr>
            <xdr:spPr>
              <a:xfrm>
                <a:off x="10187444" y="17830998"/>
                <a:ext cx="9469978" cy="34814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34" name="Rechthoek 133">
                <a:extLst>
                  <a:ext uri="{FF2B5EF4-FFF2-40B4-BE49-F238E27FC236}">
                    <a16:creationId xmlns:a16="http://schemas.microsoft.com/office/drawing/2014/main" id="{8C589CFF-609A-4B07-84E2-BA8066519572}"/>
                  </a:ext>
                </a:extLst>
              </xdr:cNvPr>
              <xdr:cNvSpPr/>
            </xdr:nvSpPr>
            <xdr:spPr>
              <a:xfrm>
                <a:off x="10212187" y="18750543"/>
                <a:ext cx="9469978" cy="560713"/>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grpSp>
      <xdr:grpSp>
        <xdr:nvGrpSpPr>
          <xdr:cNvPr id="93" name="Groep 92">
            <a:extLst>
              <a:ext uri="{FF2B5EF4-FFF2-40B4-BE49-F238E27FC236}">
                <a16:creationId xmlns:a16="http://schemas.microsoft.com/office/drawing/2014/main" id="{760CBA0A-42F5-4C3D-9704-6AD96498FA18}"/>
              </a:ext>
            </a:extLst>
          </xdr:cNvPr>
          <xdr:cNvGrpSpPr/>
        </xdr:nvGrpSpPr>
        <xdr:grpSpPr>
          <a:xfrm>
            <a:off x="152400" y="0"/>
            <a:ext cx="51123669" cy="28332544"/>
            <a:chOff x="152400" y="0"/>
            <a:chExt cx="51123669" cy="28332544"/>
          </a:xfrm>
          <a:grpFill/>
        </xdr:grpSpPr>
        <xdr:sp macro="" textlink="">
          <xdr:nvSpPr>
            <xdr:cNvPr id="110" name="Rechthoek 109">
              <a:extLst>
                <a:ext uri="{FF2B5EF4-FFF2-40B4-BE49-F238E27FC236}">
                  <a16:creationId xmlns:a16="http://schemas.microsoft.com/office/drawing/2014/main" id="{4A48FF0A-DFFC-4359-9193-4F3B7A3D15DE}"/>
                </a:ext>
              </a:extLst>
            </xdr:cNvPr>
            <xdr:cNvSpPr/>
          </xdr:nvSpPr>
          <xdr:spPr>
            <a:xfrm>
              <a:off x="152400" y="900546"/>
              <a:ext cx="30914717" cy="213656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11" name="Rechthoek 110">
              <a:extLst>
                <a:ext uri="{FF2B5EF4-FFF2-40B4-BE49-F238E27FC236}">
                  <a16:creationId xmlns:a16="http://schemas.microsoft.com/office/drawing/2014/main" id="{D9BC63EF-99B8-4CCF-BB7D-ED5EA8E04C8B}"/>
                </a:ext>
              </a:extLst>
            </xdr:cNvPr>
            <xdr:cNvSpPr/>
          </xdr:nvSpPr>
          <xdr:spPr>
            <a:xfrm>
              <a:off x="30910502" y="0"/>
              <a:ext cx="20365567" cy="28332544"/>
            </a:xfrm>
            <a:prstGeom prst="rect">
              <a:avLst/>
            </a:prstGeom>
            <a:solidFill>
              <a:srgbClr val="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marL="0" indent="0" algn="l"/>
              <a:endParaRPr lang="nl-NL" sz="1100">
                <a:solidFill>
                  <a:schemeClr val="lt1"/>
                </a:solidFill>
                <a:latin typeface="+mn-lt"/>
                <a:ea typeface="+mn-ea"/>
                <a:cs typeface="+mn-cs"/>
              </a:endParaRPr>
            </a:p>
          </xdr:txBody>
        </xdr:sp>
        <xdr:sp macro="" textlink="">
          <xdr:nvSpPr>
            <xdr:cNvPr id="112" name="Rechthoek 111">
              <a:extLst>
                <a:ext uri="{FF2B5EF4-FFF2-40B4-BE49-F238E27FC236}">
                  <a16:creationId xmlns:a16="http://schemas.microsoft.com/office/drawing/2014/main" id="{AD4EA100-368B-4AD3-8F46-0A3C3B16FFDF}"/>
                </a:ext>
              </a:extLst>
            </xdr:cNvPr>
            <xdr:cNvSpPr/>
          </xdr:nvSpPr>
          <xdr:spPr>
            <a:xfrm>
              <a:off x="19825854" y="2310508"/>
              <a:ext cx="4197928" cy="19028368"/>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nl-NL" sz="1100">
                <a:solidFill>
                  <a:schemeClr val="lt1"/>
                </a:solidFill>
                <a:latin typeface="+mn-lt"/>
                <a:ea typeface="+mn-ea"/>
                <a:cs typeface="+mn-cs"/>
              </a:endParaRPr>
            </a:p>
          </xdr:txBody>
        </xdr:sp>
        <xdr:sp macro="" textlink="">
          <xdr:nvSpPr>
            <xdr:cNvPr id="113" name="Rechthoek 112">
              <a:extLst>
                <a:ext uri="{FF2B5EF4-FFF2-40B4-BE49-F238E27FC236}">
                  <a16:creationId xmlns:a16="http://schemas.microsoft.com/office/drawing/2014/main" id="{F47D1D5D-BDB4-4728-88EA-E460CF136368}"/>
                </a:ext>
              </a:extLst>
            </xdr:cNvPr>
            <xdr:cNvSpPr/>
          </xdr:nvSpPr>
          <xdr:spPr>
            <a:xfrm>
              <a:off x="23788256" y="2352165"/>
              <a:ext cx="6858000" cy="3189653"/>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l-NL" sz="1100"/>
                <a:t>sdfsdfsdf</a:t>
              </a:r>
            </a:p>
          </xdr:txBody>
        </xdr:sp>
        <xdr:sp macro="" textlink="">
          <xdr:nvSpPr>
            <xdr:cNvPr id="114" name="Rechthoek 113">
              <a:extLst>
                <a:ext uri="{FF2B5EF4-FFF2-40B4-BE49-F238E27FC236}">
                  <a16:creationId xmlns:a16="http://schemas.microsoft.com/office/drawing/2014/main" id="{A0024947-AF3C-4209-B4A3-09C014FD6DE2}"/>
                </a:ext>
              </a:extLst>
            </xdr:cNvPr>
            <xdr:cNvSpPr/>
          </xdr:nvSpPr>
          <xdr:spPr>
            <a:xfrm>
              <a:off x="997564" y="2421437"/>
              <a:ext cx="9531926" cy="19028368"/>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15" name="Rechthoek 114">
              <a:extLst>
                <a:ext uri="{FF2B5EF4-FFF2-40B4-BE49-F238E27FC236}">
                  <a16:creationId xmlns:a16="http://schemas.microsoft.com/office/drawing/2014/main" id="{F4EC9B71-794B-4045-9FA2-72BE8AF6965D}"/>
                </a:ext>
              </a:extLst>
            </xdr:cNvPr>
            <xdr:cNvSpPr/>
          </xdr:nvSpPr>
          <xdr:spPr>
            <a:xfrm>
              <a:off x="10381329" y="19168609"/>
              <a:ext cx="9529055" cy="214596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grpSp>
        <xdr:nvGrpSpPr>
          <xdr:cNvPr id="94" name="Groep 93">
            <a:extLst>
              <a:ext uri="{FF2B5EF4-FFF2-40B4-BE49-F238E27FC236}">
                <a16:creationId xmlns:a16="http://schemas.microsoft.com/office/drawing/2014/main" id="{BEE52F3E-4040-4754-B448-C8C0732B3D9C}"/>
              </a:ext>
            </a:extLst>
          </xdr:cNvPr>
          <xdr:cNvGrpSpPr/>
        </xdr:nvGrpSpPr>
        <xdr:grpSpPr>
          <a:xfrm>
            <a:off x="10211515" y="4239491"/>
            <a:ext cx="9761978" cy="15039108"/>
            <a:chOff x="10211515" y="4239491"/>
            <a:chExt cx="9761978" cy="15039108"/>
          </a:xfrm>
          <a:grpFill/>
        </xdr:grpSpPr>
        <xdr:grpSp>
          <xdr:nvGrpSpPr>
            <xdr:cNvPr id="96" name="Groep 95">
              <a:extLst>
                <a:ext uri="{FF2B5EF4-FFF2-40B4-BE49-F238E27FC236}">
                  <a16:creationId xmlns:a16="http://schemas.microsoft.com/office/drawing/2014/main" id="{A521903B-2C72-4AFF-AF73-9D969BFA4DBF}"/>
                </a:ext>
              </a:extLst>
            </xdr:cNvPr>
            <xdr:cNvGrpSpPr/>
          </xdr:nvGrpSpPr>
          <xdr:grpSpPr>
            <a:xfrm>
              <a:off x="10211515" y="6794755"/>
              <a:ext cx="9761978" cy="12483844"/>
              <a:chOff x="10059115" y="6827412"/>
              <a:chExt cx="9761978" cy="12483844"/>
            </a:xfrm>
            <a:grpFill/>
          </xdr:grpSpPr>
          <xdr:sp macro="" textlink="">
            <xdr:nvSpPr>
              <xdr:cNvPr id="98" name="Rechthoek 97">
                <a:extLst>
                  <a:ext uri="{FF2B5EF4-FFF2-40B4-BE49-F238E27FC236}">
                    <a16:creationId xmlns:a16="http://schemas.microsoft.com/office/drawing/2014/main" id="{C7D4E586-FFBC-4C88-90EC-4239630939D9}"/>
                  </a:ext>
                </a:extLst>
              </xdr:cNvPr>
              <xdr:cNvSpPr/>
            </xdr:nvSpPr>
            <xdr:spPr>
              <a:xfrm>
                <a:off x="10203648" y="6827412"/>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99" name="Rechthoek 98">
                <a:extLst>
                  <a:ext uri="{FF2B5EF4-FFF2-40B4-BE49-F238E27FC236}">
                    <a16:creationId xmlns:a16="http://schemas.microsoft.com/office/drawing/2014/main" id="{8AB92416-9C43-4514-8BED-34051803301D}"/>
                  </a:ext>
                </a:extLst>
              </xdr:cNvPr>
              <xdr:cNvSpPr/>
            </xdr:nvSpPr>
            <xdr:spPr>
              <a:xfrm>
                <a:off x="10255580" y="7690159"/>
                <a:ext cx="9529055" cy="17031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00" name="Rechthoek 99">
                <a:extLst>
                  <a:ext uri="{FF2B5EF4-FFF2-40B4-BE49-F238E27FC236}">
                    <a16:creationId xmlns:a16="http://schemas.microsoft.com/office/drawing/2014/main" id="{748D46D4-17C6-40D1-8DB9-93662D6010D1}"/>
                  </a:ext>
                </a:extLst>
              </xdr:cNvPr>
              <xdr:cNvSpPr/>
            </xdr:nvSpPr>
            <xdr:spPr>
              <a:xfrm>
                <a:off x="10199914" y="9675421"/>
                <a:ext cx="9601473" cy="178128"/>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01" name="Rechthoek 100">
                <a:extLst>
                  <a:ext uri="{FF2B5EF4-FFF2-40B4-BE49-F238E27FC236}">
                    <a16:creationId xmlns:a16="http://schemas.microsoft.com/office/drawing/2014/main" id="{BC82CDE1-EE2B-4001-8EC4-A5CF34A9F643}"/>
                  </a:ext>
                </a:extLst>
              </xdr:cNvPr>
              <xdr:cNvSpPr/>
            </xdr:nvSpPr>
            <xdr:spPr>
              <a:xfrm>
                <a:off x="10059115" y="11121875"/>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02" name="Rechthoek 101">
                <a:extLst>
                  <a:ext uri="{FF2B5EF4-FFF2-40B4-BE49-F238E27FC236}">
                    <a16:creationId xmlns:a16="http://schemas.microsoft.com/office/drawing/2014/main" id="{FA778C47-328A-4388-987A-753401846C23}"/>
                  </a:ext>
                </a:extLst>
              </xdr:cNvPr>
              <xdr:cNvSpPr/>
            </xdr:nvSpPr>
            <xdr:spPr>
              <a:xfrm>
                <a:off x="10095574" y="11915820"/>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03" name="Rechthoek 102">
                <a:extLst>
                  <a:ext uri="{FF2B5EF4-FFF2-40B4-BE49-F238E27FC236}">
                    <a16:creationId xmlns:a16="http://schemas.microsoft.com/office/drawing/2014/main" id="{0021BC67-07F1-4710-A686-5AAF27006C0A}"/>
                  </a:ext>
                </a:extLst>
              </xdr:cNvPr>
              <xdr:cNvSpPr/>
            </xdr:nvSpPr>
            <xdr:spPr>
              <a:xfrm>
                <a:off x="10200906" y="12737674"/>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04" name="Rechthoek 103">
                <a:extLst>
                  <a:ext uri="{FF2B5EF4-FFF2-40B4-BE49-F238E27FC236}">
                    <a16:creationId xmlns:a16="http://schemas.microsoft.com/office/drawing/2014/main" id="{2F460316-D833-4FAE-B080-8BC711AC4F00}"/>
                  </a:ext>
                </a:extLst>
              </xdr:cNvPr>
              <xdr:cNvSpPr/>
            </xdr:nvSpPr>
            <xdr:spPr>
              <a:xfrm>
                <a:off x="10166600" y="14014295"/>
                <a:ext cx="9529055" cy="206196"/>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05" name="Rechthoek 104">
                <a:extLst>
                  <a:ext uri="{FF2B5EF4-FFF2-40B4-BE49-F238E27FC236}">
                    <a16:creationId xmlns:a16="http://schemas.microsoft.com/office/drawing/2014/main" id="{078D5883-C692-41E2-AEA5-0D9C8F8C5008}"/>
                  </a:ext>
                </a:extLst>
              </xdr:cNvPr>
              <xdr:cNvSpPr/>
            </xdr:nvSpPr>
            <xdr:spPr>
              <a:xfrm>
                <a:off x="10237990" y="15211336"/>
                <a:ext cx="9529055" cy="1130261"/>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06" name="Rechthoek 105">
                <a:extLst>
                  <a:ext uri="{FF2B5EF4-FFF2-40B4-BE49-F238E27FC236}">
                    <a16:creationId xmlns:a16="http://schemas.microsoft.com/office/drawing/2014/main" id="{4B9118E3-FC3C-4381-B205-B3AAA4664CE8}"/>
                  </a:ext>
                </a:extLst>
              </xdr:cNvPr>
              <xdr:cNvSpPr/>
            </xdr:nvSpPr>
            <xdr:spPr>
              <a:xfrm>
                <a:off x="10230455" y="16920673"/>
                <a:ext cx="9529055" cy="343659"/>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07" name="Rechthoek 106">
                <a:extLst>
                  <a:ext uri="{FF2B5EF4-FFF2-40B4-BE49-F238E27FC236}">
                    <a16:creationId xmlns:a16="http://schemas.microsoft.com/office/drawing/2014/main" id="{F01730F0-C3B4-462D-AEE4-2020AE38FB00}"/>
                  </a:ext>
                </a:extLst>
              </xdr:cNvPr>
              <xdr:cNvSpPr/>
            </xdr:nvSpPr>
            <xdr:spPr>
              <a:xfrm>
                <a:off x="10292038" y="14768513"/>
                <a:ext cx="9529055" cy="9928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08" name="Rechthoek 107">
                <a:extLst>
                  <a:ext uri="{FF2B5EF4-FFF2-40B4-BE49-F238E27FC236}">
                    <a16:creationId xmlns:a16="http://schemas.microsoft.com/office/drawing/2014/main" id="{4B2E3118-B223-4C2D-8BF7-0FC97CF9B16A}"/>
                  </a:ext>
                </a:extLst>
              </xdr:cNvPr>
              <xdr:cNvSpPr/>
            </xdr:nvSpPr>
            <xdr:spPr>
              <a:xfrm>
                <a:off x="10187444" y="17830998"/>
                <a:ext cx="9469978" cy="34814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109" name="Rechthoek 108">
                <a:extLst>
                  <a:ext uri="{FF2B5EF4-FFF2-40B4-BE49-F238E27FC236}">
                    <a16:creationId xmlns:a16="http://schemas.microsoft.com/office/drawing/2014/main" id="{C158FCBB-B007-4851-849C-464AD67C7D1F}"/>
                  </a:ext>
                </a:extLst>
              </xdr:cNvPr>
              <xdr:cNvSpPr/>
            </xdr:nvSpPr>
            <xdr:spPr>
              <a:xfrm>
                <a:off x="10212187" y="18750543"/>
                <a:ext cx="9469978" cy="560713"/>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sp macro="" textlink="">
          <xdr:nvSpPr>
            <xdr:cNvPr id="97" name="Rechthoek 96">
              <a:extLst>
                <a:ext uri="{FF2B5EF4-FFF2-40B4-BE49-F238E27FC236}">
                  <a16:creationId xmlns:a16="http://schemas.microsoft.com/office/drawing/2014/main" id="{56A2B400-7979-493F-B663-E54BC8273270}"/>
                </a:ext>
              </a:extLst>
            </xdr:cNvPr>
            <xdr:cNvSpPr/>
          </xdr:nvSpPr>
          <xdr:spPr>
            <a:xfrm>
              <a:off x="10293927" y="4239491"/>
              <a:ext cx="9587346" cy="135774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sp macro="" textlink="">
        <xdr:nvSpPr>
          <xdr:cNvPr id="95" name="Rechthoek 94">
            <a:extLst>
              <a:ext uri="{FF2B5EF4-FFF2-40B4-BE49-F238E27FC236}">
                <a16:creationId xmlns:a16="http://schemas.microsoft.com/office/drawing/2014/main" id="{C5CFE840-559C-47DB-B6A0-790395396594}"/>
              </a:ext>
            </a:extLst>
          </xdr:cNvPr>
          <xdr:cNvSpPr/>
        </xdr:nvSpPr>
        <xdr:spPr>
          <a:xfrm>
            <a:off x="10377774" y="3241978"/>
            <a:ext cx="9517358" cy="27709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clientData/>
  </xdr:twoCellAnchor>
  <xdr:twoCellAnchor>
    <xdr:from>
      <xdr:col>0</xdr:col>
      <xdr:colOff>27709</xdr:colOff>
      <xdr:row>0</xdr:row>
      <xdr:rowOff>41564</xdr:rowOff>
    </xdr:from>
    <xdr:to>
      <xdr:col>8</xdr:col>
      <xdr:colOff>27709</xdr:colOff>
      <xdr:row>137</xdr:row>
      <xdr:rowOff>41564</xdr:rowOff>
    </xdr:to>
    <xdr:sp macro="" textlink="">
      <xdr:nvSpPr>
        <xdr:cNvPr id="136" name="Rechthoek 135">
          <a:extLst>
            <a:ext uri="{FF2B5EF4-FFF2-40B4-BE49-F238E27FC236}">
              <a16:creationId xmlns:a16="http://schemas.microsoft.com/office/drawing/2014/main" id="{C0805B82-8A72-454A-AD2C-254740AF3648}"/>
            </a:ext>
          </a:extLst>
        </xdr:cNvPr>
        <xdr:cNvSpPr/>
      </xdr:nvSpPr>
      <xdr:spPr>
        <a:xfrm>
          <a:off x="27709" y="41564"/>
          <a:ext cx="886691" cy="29801127"/>
        </a:xfrm>
        <a:prstGeom prst="rect">
          <a:avLst/>
        </a:prstGeom>
        <a:solidFill>
          <a:srgbClr val="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6</xdr:col>
      <xdr:colOff>27709</xdr:colOff>
      <xdr:row>79</xdr:row>
      <xdr:rowOff>124689</xdr:rowOff>
    </xdr:from>
    <xdr:to>
      <xdr:col>45</xdr:col>
      <xdr:colOff>55418</xdr:colOff>
      <xdr:row>128</xdr:row>
      <xdr:rowOff>166255</xdr:rowOff>
    </xdr:to>
    <xdr:sp macro="" textlink="">
      <xdr:nvSpPr>
        <xdr:cNvPr id="137" name="Rechthoek 136">
          <a:extLst>
            <a:ext uri="{FF2B5EF4-FFF2-40B4-BE49-F238E27FC236}">
              <a16:creationId xmlns:a16="http://schemas.microsoft.com/office/drawing/2014/main" id="{6494D8E8-AF38-40C9-9069-5D9FE3CBAAB7}"/>
            </a:ext>
          </a:extLst>
        </xdr:cNvPr>
        <xdr:cNvSpPr/>
      </xdr:nvSpPr>
      <xdr:spPr>
        <a:xfrm>
          <a:off x="692727" y="19340944"/>
          <a:ext cx="30521564" cy="9005456"/>
        </a:xfrm>
        <a:prstGeom prst="rect">
          <a:avLst/>
        </a:prstGeom>
        <a:solidFill>
          <a:srgbClr val="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13853</xdr:colOff>
      <xdr:row>14</xdr:row>
      <xdr:rowOff>228601</xdr:rowOff>
    </xdr:from>
    <xdr:to>
      <xdr:col>3</xdr:col>
      <xdr:colOff>2340429</xdr:colOff>
      <xdr:row>14</xdr:row>
      <xdr:rowOff>4558145</xdr:rowOff>
    </xdr:to>
    <xdr:graphicFrame macro="">
      <xdr:nvGraphicFramePr>
        <xdr:cNvPr id="2" name="Grafiek 1">
          <a:extLst>
            <a:ext uri="{FF2B5EF4-FFF2-40B4-BE49-F238E27FC236}">
              <a16:creationId xmlns:a16="http://schemas.microsoft.com/office/drawing/2014/main" id="{08EFD45E-4D76-4A38-9CA2-3086D9B855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10</xdr:col>
      <xdr:colOff>42380</xdr:colOff>
      <xdr:row>2</xdr:row>
      <xdr:rowOff>28525</xdr:rowOff>
    </xdr:from>
    <xdr:to>
      <xdr:col>12</xdr:col>
      <xdr:colOff>532304</xdr:colOff>
      <xdr:row>4</xdr:row>
      <xdr:rowOff>236342</xdr:rowOff>
    </xdr:to>
    <xdr:pic>
      <xdr:nvPicPr>
        <xdr:cNvPr id="4" name="Afbeelding 3">
          <a:extLst>
            <a:ext uri="{FF2B5EF4-FFF2-40B4-BE49-F238E27FC236}">
              <a16:creationId xmlns:a16="http://schemas.microsoft.com/office/drawing/2014/main" id="{263D5FF6-0B37-47C5-900C-62072A81A6E5}"/>
            </a:ext>
          </a:extLst>
        </xdr:cNvPr>
        <xdr:cNvPicPr>
          <a:picLocks noChangeAspect="1"/>
        </xdr:cNvPicPr>
      </xdr:nvPicPr>
      <xdr:blipFill>
        <a:blip xmlns:r="http://schemas.openxmlformats.org/officeDocument/2006/relationships" r:embed="rId2"/>
        <a:stretch>
          <a:fillRect/>
        </a:stretch>
      </xdr:blipFill>
      <xdr:spPr>
        <a:xfrm>
          <a:off x="8912060" y="897205"/>
          <a:ext cx="1709124" cy="748837"/>
        </a:xfrm>
        <a:prstGeom prst="rect">
          <a:avLst/>
        </a:prstGeom>
      </xdr:spPr>
    </xdr:pic>
    <xdr:clientData/>
  </xdr:twoCellAnchor>
  <xdr:twoCellAnchor>
    <xdr:from>
      <xdr:col>5</xdr:col>
      <xdr:colOff>484910</xdr:colOff>
      <xdr:row>14</xdr:row>
      <xdr:rowOff>83123</xdr:rowOff>
    </xdr:from>
    <xdr:to>
      <xdr:col>15</xdr:col>
      <xdr:colOff>51955</xdr:colOff>
      <xdr:row>14</xdr:row>
      <xdr:rowOff>4817913</xdr:rowOff>
    </xdr:to>
    <xdr:graphicFrame macro="">
      <xdr:nvGraphicFramePr>
        <xdr:cNvPr id="5" name="Grafiek 4">
          <a:extLst>
            <a:ext uri="{FF2B5EF4-FFF2-40B4-BE49-F238E27FC236}">
              <a16:creationId xmlns:a16="http://schemas.microsoft.com/office/drawing/2014/main" id="{6318A2DE-04F1-4BAA-B0A7-27B75D81B2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32657</xdr:colOff>
      <xdr:row>2</xdr:row>
      <xdr:rowOff>54430</xdr:rowOff>
    </xdr:from>
    <xdr:to>
      <xdr:col>54</xdr:col>
      <xdr:colOff>489857</xdr:colOff>
      <xdr:row>40</xdr:row>
      <xdr:rowOff>174169</xdr:rowOff>
    </xdr:to>
    <xdr:grpSp>
      <xdr:nvGrpSpPr>
        <xdr:cNvPr id="23" name="Groep 22">
          <a:extLst>
            <a:ext uri="{FF2B5EF4-FFF2-40B4-BE49-F238E27FC236}">
              <a16:creationId xmlns:a16="http://schemas.microsoft.com/office/drawing/2014/main" id="{6087BFB9-368D-462A-B96F-8BD816DF0356}"/>
            </a:ext>
          </a:extLst>
        </xdr:cNvPr>
        <xdr:cNvGrpSpPr/>
      </xdr:nvGrpSpPr>
      <xdr:grpSpPr>
        <a:xfrm>
          <a:off x="1251857" y="927266"/>
          <a:ext cx="26004982" cy="12381012"/>
          <a:chOff x="1251857" y="925287"/>
          <a:chExt cx="25995086" cy="12464139"/>
        </a:xfrm>
      </xdr:grpSpPr>
      <xdr:sp macro="" textlink="">
        <xdr:nvSpPr>
          <xdr:cNvPr id="17" name="Rechthoek 16">
            <a:extLst>
              <a:ext uri="{FF2B5EF4-FFF2-40B4-BE49-F238E27FC236}">
                <a16:creationId xmlns:a16="http://schemas.microsoft.com/office/drawing/2014/main" id="{77E4340B-954E-44A9-9350-D468551A71A0}"/>
              </a:ext>
            </a:extLst>
          </xdr:cNvPr>
          <xdr:cNvSpPr/>
        </xdr:nvSpPr>
        <xdr:spPr>
          <a:xfrm>
            <a:off x="1251857" y="925287"/>
            <a:ext cx="12649200" cy="12442370"/>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22" name="Rechthoek 21">
            <a:extLst>
              <a:ext uri="{FF2B5EF4-FFF2-40B4-BE49-F238E27FC236}">
                <a16:creationId xmlns:a16="http://schemas.microsoft.com/office/drawing/2014/main" id="{EF542509-BEF8-40FF-BC66-013A201D4610}"/>
              </a:ext>
            </a:extLst>
          </xdr:cNvPr>
          <xdr:cNvSpPr/>
        </xdr:nvSpPr>
        <xdr:spPr>
          <a:xfrm>
            <a:off x="14597743" y="947056"/>
            <a:ext cx="12649200" cy="12442370"/>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2</xdr:col>
      <xdr:colOff>13853</xdr:colOff>
      <xdr:row>14</xdr:row>
      <xdr:rowOff>228601</xdr:rowOff>
    </xdr:from>
    <xdr:to>
      <xdr:col>3</xdr:col>
      <xdr:colOff>2340429</xdr:colOff>
      <xdr:row>14</xdr:row>
      <xdr:rowOff>4558145</xdr:rowOff>
    </xdr:to>
    <xdr:graphicFrame macro="">
      <xdr:nvGraphicFramePr>
        <xdr:cNvPr id="2" name="Grafiek 1">
          <a:extLst>
            <a:ext uri="{FF2B5EF4-FFF2-40B4-BE49-F238E27FC236}">
              <a16:creationId xmlns:a16="http://schemas.microsoft.com/office/drawing/2014/main" id="{3E687C95-C2DE-4BE1-8197-1DF65B4AA0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10</xdr:col>
      <xdr:colOff>42380</xdr:colOff>
      <xdr:row>2</xdr:row>
      <xdr:rowOff>28525</xdr:rowOff>
    </xdr:from>
    <xdr:to>
      <xdr:col>12</xdr:col>
      <xdr:colOff>532304</xdr:colOff>
      <xdr:row>4</xdr:row>
      <xdr:rowOff>236342</xdr:rowOff>
    </xdr:to>
    <xdr:pic>
      <xdr:nvPicPr>
        <xdr:cNvPr id="3" name="Afbeelding 2">
          <a:extLst>
            <a:ext uri="{FF2B5EF4-FFF2-40B4-BE49-F238E27FC236}">
              <a16:creationId xmlns:a16="http://schemas.microsoft.com/office/drawing/2014/main" id="{235E8A6F-79F1-4AEE-81B5-BA53665F1CF3}"/>
            </a:ext>
          </a:extLst>
        </xdr:cNvPr>
        <xdr:cNvPicPr>
          <a:picLocks noChangeAspect="1"/>
        </xdr:cNvPicPr>
      </xdr:nvPicPr>
      <xdr:blipFill>
        <a:blip xmlns:r="http://schemas.openxmlformats.org/officeDocument/2006/relationships" r:embed="rId2"/>
        <a:stretch>
          <a:fillRect/>
        </a:stretch>
      </xdr:blipFill>
      <xdr:spPr>
        <a:xfrm>
          <a:off x="8912060" y="897205"/>
          <a:ext cx="1709124" cy="748837"/>
        </a:xfrm>
        <a:prstGeom prst="rect">
          <a:avLst/>
        </a:prstGeom>
      </xdr:spPr>
    </xdr:pic>
    <xdr:clientData/>
  </xdr:twoCellAnchor>
  <xdr:twoCellAnchor>
    <xdr:from>
      <xdr:col>5</xdr:col>
      <xdr:colOff>484910</xdr:colOff>
      <xdr:row>14</xdr:row>
      <xdr:rowOff>83123</xdr:rowOff>
    </xdr:from>
    <xdr:to>
      <xdr:col>15</xdr:col>
      <xdr:colOff>51955</xdr:colOff>
      <xdr:row>14</xdr:row>
      <xdr:rowOff>4817913</xdr:rowOff>
    </xdr:to>
    <xdr:graphicFrame macro="">
      <xdr:nvGraphicFramePr>
        <xdr:cNvPr id="4" name="Grafiek 3">
          <a:extLst>
            <a:ext uri="{FF2B5EF4-FFF2-40B4-BE49-F238E27FC236}">
              <a16:creationId xmlns:a16="http://schemas.microsoft.com/office/drawing/2014/main" id="{2B2D8ED8-91D1-40AB-AD87-4B65465DB1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41564</xdr:colOff>
      <xdr:row>2</xdr:row>
      <xdr:rowOff>13855</xdr:rowOff>
    </xdr:from>
    <xdr:to>
      <xdr:col>54</xdr:col>
      <xdr:colOff>488868</xdr:colOff>
      <xdr:row>41</xdr:row>
      <xdr:rowOff>36612</xdr:rowOff>
    </xdr:to>
    <xdr:grpSp>
      <xdr:nvGrpSpPr>
        <xdr:cNvPr id="21" name="Groep 20">
          <a:extLst>
            <a:ext uri="{FF2B5EF4-FFF2-40B4-BE49-F238E27FC236}">
              <a16:creationId xmlns:a16="http://schemas.microsoft.com/office/drawing/2014/main" id="{B2B06283-F80F-4A63-9BCF-06ACD5EC88D9}"/>
            </a:ext>
          </a:extLst>
        </xdr:cNvPr>
        <xdr:cNvGrpSpPr/>
      </xdr:nvGrpSpPr>
      <xdr:grpSpPr>
        <a:xfrm>
          <a:off x="1260764" y="886691"/>
          <a:ext cx="25995086" cy="12464139"/>
          <a:chOff x="1251857" y="925287"/>
          <a:chExt cx="25995086" cy="12464139"/>
        </a:xfrm>
      </xdr:grpSpPr>
      <xdr:sp macro="" textlink="">
        <xdr:nvSpPr>
          <xdr:cNvPr id="22" name="Rechthoek 21">
            <a:extLst>
              <a:ext uri="{FF2B5EF4-FFF2-40B4-BE49-F238E27FC236}">
                <a16:creationId xmlns:a16="http://schemas.microsoft.com/office/drawing/2014/main" id="{9DA50825-63F2-47AF-BDEA-9197B629B385}"/>
              </a:ext>
            </a:extLst>
          </xdr:cNvPr>
          <xdr:cNvSpPr/>
        </xdr:nvSpPr>
        <xdr:spPr>
          <a:xfrm>
            <a:off x="1251857" y="925287"/>
            <a:ext cx="12649200" cy="12442370"/>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23" name="Rechthoek 22">
            <a:extLst>
              <a:ext uri="{FF2B5EF4-FFF2-40B4-BE49-F238E27FC236}">
                <a16:creationId xmlns:a16="http://schemas.microsoft.com/office/drawing/2014/main" id="{89220154-9F1F-4746-91C6-2D6BF76BCFB7}"/>
              </a:ext>
            </a:extLst>
          </xdr:cNvPr>
          <xdr:cNvSpPr/>
        </xdr:nvSpPr>
        <xdr:spPr>
          <a:xfrm>
            <a:off x="14597743" y="947056"/>
            <a:ext cx="12649200" cy="12442370"/>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2</xdr:col>
      <xdr:colOff>13853</xdr:colOff>
      <xdr:row>14</xdr:row>
      <xdr:rowOff>228601</xdr:rowOff>
    </xdr:from>
    <xdr:to>
      <xdr:col>3</xdr:col>
      <xdr:colOff>2340429</xdr:colOff>
      <xdr:row>14</xdr:row>
      <xdr:rowOff>4558145</xdr:rowOff>
    </xdr:to>
    <xdr:graphicFrame macro="">
      <xdr:nvGraphicFramePr>
        <xdr:cNvPr id="2" name="Grafiek 1">
          <a:extLst>
            <a:ext uri="{FF2B5EF4-FFF2-40B4-BE49-F238E27FC236}">
              <a16:creationId xmlns:a16="http://schemas.microsoft.com/office/drawing/2014/main" id="{1EA93AD9-15FD-4BD1-B3E5-A67BCD1E7B5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10</xdr:col>
      <xdr:colOff>42380</xdr:colOff>
      <xdr:row>2</xdr:row>
      <xdr:rowOff>28525</xdr:rowOff>
    </xdr:from>
    <xdr:to>
      <xdr:col>12</xdr:col>
      <xdr:colOff>532304</xdr:colOff>
      <xdr:row>4</xdr:row>
      <xdr:rowOff>236342</xdr:rowOff>
    </xdr:to>
    <xdr:pic>
      <xdr:nvPicPr>
        <xdr:cNvPr id="3" name="Afbeelding 2">
          <a:extLst>
            <a:ext uri="{FF2B5EF4-FFF2-40B4-BE49-F238E27FC236}">
              <a16:creationId xmlns:a16="http://schemas.microsoft.com/office/drawing/2014/main" id="{1F060846-6FEA-4129-AEE8-666ECB3A2272}"/>
            </a:ext>
          </a:extLst>
        </xdr:cNvPr>
        <xdr:cNvPicPr>
          <a:picLocks noChangeAspect="1"/>
        </xdr:cNvPicPr>
      </xdr:nvPicPr>
      <xdr:blipFill>
        <a:blip xmlns:r="http://schemas.openxmlformats.org/officeDocument/2006/relationships" r:embed="rId2"/>
        <a:stretch>
          <a:fillRect/>
        </a:stretch>
      </xdr:blipFill>
      <xdr:spPr>
        <a:xfrm>
          <a:off x="8912060" y="897205"/>
          <a:ext cx="1709124" cy="748837"/>
        </a:xfrm>
        <a:prstGeom prst="rect">
          <a:avLst/>
        </a:prstGeom>
      </xdr:spPr>
    </xdr:pic>
    <xdr:clientData/>
  </xdr:twoCellAnchor>
  <xdr:twoCellAnchor>
    <xdr:from>
      <xdr:col>5</xdr:col>
      <xdr:colOff>484910</xdr:colOff>
      <xdr:row>14</xdr:row>
      <xdr:rowOff>83123</xdr:rowOff>
    </xdr:from>
    <xdr:to>
      <xdr:col>15</xdr:col>
      <xdr:colOff>51955</xdr:colOff>
      <xdr:row>14</xdr:row>
      <xdr:rowOff>4817913</xdr:rowOff>
    </xdr:to>
    <xdr:graphicFrame macro="">
      <xdr:nvGraphicFramePr>
        <xdr:cNvPr id="4" name="Grafiek 3">
          <a:extLst>
            <a:ext uri="{FF2B5EF4-FFF2-40B4-BE49-F238E27FC236}">
              <a16:creationId xmlns:a16="http://schemas.microsoft.com/office/drawing/2014/main" id="{5D98D67C-38C2-4BCE-9FED-D6ED26DD57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13855</xdr:colOff>
      <xdr:row>2</xdr:row>
      <xdr:rowOff>27709</xdr:rowOff>
    </xdr:from>
    <xdr:to>
      <xdr:col>54</xdr:col>
      <xdr:colOff>461159</xdr:colOff>
      <xdr:row>41</xdr:row>
      <xdr:rowOff>50466</xdr:rowOff>
    </xdr:to>
    <xdr:grpSp>
      <xdr:nvGrpSpPr>
        <xdr:cNvPr id="20" name="Groep 19">
          <a:extLst>
            <a:ext uri="{FF2B5EF4-FFF2-40B4-BE49-F238E27FC236}">
              <a16:creationId xmlns:a16="http://schemas.microsoft.com/office/drawing/2014/main" id="{C6BB529E-087F-48DE-8E37-B72C20843893}"/>
            </a:ext>
          </a:extLst>
        </xdr:cNvPr>
        <xdr:cNvGrpSpPr/>
      </xdr:nvGrpSpPr>
      <xdr:grpSpPr>
        <a:xfrm>
          <a:off x="1233055" y="900545"/>
          <a:ext cx="25995086" cy="12464139"/>
          <a:chOff x="1251857" y="925287"/>
          <a:chExt cx="25995086" cy="12464139"/>
        </a:xfrm>
      </xdr:grpSpPr>
      <xdr:sp macro="" textlink="">
        <xdr:nvSpPr>
          <xdr:cNvPr id="21" name="Rechthoek 20">
            <a:extLst>
              <a:ext uri="{FF2B5EF4-FFF2-40B4-BE49-F238E27FC236}">
                <a16:creationId xmlns:a16="http://schemas.microsoft.com/office/drawing/2014/main" id="{F2F1D7D5-4C4B-4C2D-A1A7-90BDD0BD7B17}"/>
              </a:ext>
            </a:extLst>
          </xdr:cNvPr>
          <xdr:cNvSpPr/>
        </xdr:nvSpPr>
        <xdr:spPr>
          <a:xfrm>
            <a:off x="1251857" y="925287"/>
            <a:ext cx="12649200" cy="12442370"/>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22" name="Rechthoek 21">
            <a:extLst>
              <a:ext uri="{FF2B5EF4-FFF2-40B4-BE49-F238E27FC236}">
                <a16:creationId xmlns:a16="http://schemas.microsoft.com/office/drawing/2014/main" id="{20F9A418-B028-4D9E-AE2A-42F6BC8BB296}"/>
              </a:ext>
            </a:extLst>
          </xdr:cNvPr>
          <xdr:cNvSpPr/>
        </xdr:nvSpPr>
        <xdr:spPr>
          <a:xfrm>
            <a:off x="14597743" y="947056"/>
            <a:ext cx="12649200" cy="12442370"/>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2</xdr:col>
      <xdr:colOff>13853</xdr:colOff>
      <xdr:row>14</xdr:row>
      <xdr:rowOff>228601</xdr:rowOff>
    </xdr:from>
    <xdr:to>
      <xdr:col>3</xdr:col>
      <xdr:colOff>2340429</xdr:colOff>
      <xdr:row>14</xdr:row>
      <xdr:rowOff>4558145</xdr:rowOff>
    </xdr:to>
    <xdr:graphicFrame macro="">
      <xdr:nvGraphicFramePr>
        <xdr:cNvPr id="2" name="Grafiek 1">
          <a:extLst>
            <a:ext uri="{FF2B5EF4-FFF2-40B4-BE49-F238E27FC236}">
              <a16:creationId xmlns:a16="http://schemas.microsoft.com/office/drawing/2014/main" id="{7CE35C78-380E-4228-B00F-4BF7A0CD03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10</xdr:col>
      <xdr:colOff>42380</xdr:colOff>
      <xdr:row>2</xdr:row>
      <xdr:rowOff>28525</xdr:rowOff>
    </xdr:from>
    <xdr:to>
      <xdr:col>12</xdr:col>
      <xdr:colOff>532304</xdr:colOff>
      <xdr:row>4</xdr:row>
      <xdr:rowOff>236342</xdr:rowOff>
    </xdr:to>
    <xdr:pic>
      <xdr:nvPicPr>
        <xdr:cNvPr id="3" name="Afbeelding 2">
          <a:extLst>
            <a:ext uri="{FF2B5EF4-FFF2-40B4-BE49-F238E27FC236}">
              <a16:creationId xmlns:a16="http://schemas.microsoft.com/office/drawing/2014/main" id="{5F044AB6-10BF-4A2A-B78D-F49249A0D260}"/>
            </a:ext>
          </a:extLst>
        </xdr:cNvPr>
        <xdr:cNvPicPr>
          <a:picLocks noChangeAspect="1"/>
        </xdr:cNvPicPr>
      </xdr:nvPicPr>
      <xdr:blipFill>
        <a:blip xmlns:r="http://schemas.openxmlformats.org/officeDocument/2006/relationships" r:embed="rId2"/>
        <a:stretch>
          <a:fillRect/>
        </a:stretch>
      </xdr:blipFill>
      <xdr:spPr>
        <a:xfrm>
          <a:off x="8912060" y="897205"/>
          <a:ext cx="1709124" cy="748837"/>
        </a:xfrm>
        <a:prstGeom prst="rect">
          <a:avLst/>
        </a:prstGeom>
      </xdr:spPr>
    </xdr:pic>
    <xdr:clientData/>
  </xdr:twoCellAnchor>
  <xdr:twoCellAnchor>
    <xdr:from>
      <xdr:col>5</xdr:col>
      <xdr:colOff>484910</xdr:colOff>
      <xdr:row>14</xdr:row>
      <xdr:rowOff>83123</xdr:rowOff>
    </xdr:from>
    <xdr:to>
      <xdr:col>15</xdr:col>
      <xdr:colOff>51955</xdr:colOff>
      <xdr:row>14</xdr:row>
      <xdr:rowOff>4817913</xdr:rowOff>
    </xdr:to>
    <xdr:graphicFrame macro="">
      <xdr:nvGraphicFramePr>
        <xdr:cNvPr id="4" name="Grafiek 3">
          <a:extLst>
            <a:ext uri="{FF2B5EF4-FFF2-40B4-BE49-F238E27FC236}">
              <a16:creationId xmlns:a16="http://schemas.microsoft.com/office/drawing/2014/main" id="{140B37C5-6EC4-46D8-906B-F525E2F9B81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41564</xdr:colOff>
      <xdr:row>2</xdr:row>
      <xdr:rowOff>27710</xdr:rowOff>
    </xdr:from>
    <xdr:to>
      <xdr:col>54</xdr:col>
      <xdr:colOff>488868</xdr:colOff>
      <xdr:row>41</xdr:row>
      <xdr:rowOff>50467</xdr:rowOff>
    </xdr:to>
    <xdr:grpSp>
      <xdr:nvGrpSpPr>
        <xdr:cNvPr id="20" name="Groep 19">
          <a:extLst>
            <a:ext uri="{FF2B5EF4-FFF2-40B4-BE49-F238E27FC236}">
              <a16:creationId xmlns:a16="http://schemas.microsoft.com/office/drawing/2014/main" id="{48EE4137-1E42-44E9-9AFE-E637A26885AC}"/>
            </a:ext>
          </a:extLst>
        </xdr:cNvPr>
        <xdr:cNvGrpSpPr/>
      </xdr:nvGrpSpPr>
      <xdr:grpSpPr>
        <a:xfrm>
          <a:off x="1260764" y="900546"/>
          <a:ext cx="25995086" cy="12464139"/>
          <a:chOff x="1251857" y="925287"/>
          <a:chExt cx="25995086" cy="12464139"/>
        </a:xfrm>
      </xdr:grpSpPr>
      <xdr:sp macro="" textlink="">
        <xdr:nvSpPr>
          <xdr:cNvPr id="21" name="Rechthoek 20">
            <a:extLst>
              <a:ext uri="{FF2B5EF4-FFF2-40B4-BE49-F238E27FC236}">
                <a16:creationId xmlns:a16="http://schemas.microsoft.com/office/drawing/2014/main" id="{E6B92395-60C8-44C8-9D88-9B46877621D6}"/>
              </a:ext>
            </a:extLst>
          </xdr:cNvPr>
          <xdr:cNvSpPr/>
        </xdr:nvSpPr>
        <xdr:spPr>
          <a:xfrm>
            <a:off x="1251857" y="925287"/>
            <a:ext cx="12649200" cy="12442370"/>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22" name="Rechthoek 21">
            <a:extLst>
              <a:ext uri="{FF2B5EF4-FFF2-40B4-BE49-F238E27FC236}">
                <a16:creationId xmlns:a16="http://schemas.microsoft.com/office/drawing/2014/main" id="{6F76EF7A-532C-4DCD-AB36-AF30B4AF0B40}"/>
              </a:ext>
            </a:extLst>
          </xdr:cNvPr>
          <xdr:cNvSpPr/>
        </xdr:nvSpPr>
        <xdr:spPr>
          <a:xfrm>
            <a:off x="14597743" y="947056"/>
            <a:ext cx="12649200" cy="12442370"/>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0</xdr:row>
      <xdr:rowOff>0</xdr:rowOff>
    </xdr:from>
    <xdr:to>
      <xdr:col>32</xdr:col>
      <xdr:colOff>339435</xdr:colOff>
      <xdr:row>188</xdr:row>
      <xdr:rowOff>124691</xdr:rowOff>
    </xdr:to>
    <xdr:grpSp>
      <xdr:nvGrpSpPr>
        <xdr:cNvPr id="9" name="Groep 8">
          <a:extLst>
            <a:ext uri="{FF2B5EF4-FFF2-40B4-BE49-F238E27FC236}">
              <a16:creationId xmlns:a16="http://schemas.microsoft.com/office/drawing/2014/main" id="{A067CE26-B8BE-4B2A-91C3-3C1690A4CCA2}"/>
            </a:ext>
          </a:extLst>
        </xdr:cNvPr>
        <xdr:cNvGrpSpPr/>
      </xdr:nvGrpSpPr>
      <xdr:grpSpPr>
        <a:xfrm>
          <a:off x="0" y="0"/>
          <a:ext cx="46070321" cy="37375605"/>
          <a:chOff x="0" y="0"/>
          <a:chExt cx="45678435" cy="37375605"/>
        </a:xfrm>
        <a:solidFill>
          <a:srgbClr val="FFFFFF">
            <a:alpha val="1961"/>
          </a:srgbClr>
        </a:solidFill>
      </xdr:grpSpPr>
      <xdr:sp macro="" textlink="">
        <xdr:nvSpPr>
          <xdr:cNvPr id="2" name="Rechthoek 1">
            <a:extLst>
              <a:ext uri="{FF2B5EF4-FFF2-40B4-BE49-F238E27FC236}">
                <a16:creationId xmlns:a16="http://schemas.microsoft.com/office/drawing/2014/main" id="{E8CB6CDB-3E04-490C-80EC-5A46BE27DAC9}"/>
              </a:ext>
            </a:extLst>
          </xdr:cNvPr>
          <xdr:cNvSpPr/>
        </xdr:nvSpPr>
        <xdr:spPr>
          <a:xfrm>
            <a:off x="14737278" y="33959471"/>
            <a:ext cx="5126182" cy="3416134"/>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4" name="Rechthoek 3">
            <a:extLst>
              <a:ext uri="{FF2B5EF4-FFF2-40B4-BE49-F238E27FC236}">
                <a16:creationId xmlns:a16="http://schemas.microsoft.com/office/drawing/2014/main" id="{69D3757C-4C3B-410A-AEC3-00FC1588A268}"/>
              </a:ext>
            </a:extLst>
          </xdr:cNvPr>
          <xdr:cNvSpPr/>
        </xdr:nvSpPr>
        <xdr:spPr>
          <a:xfrm>
            <a:off x="30548777" y="0"/>
            <a:ext cx="15129658" cy="32499795"/>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marL="0" indent="0" algn="l"/>
            <a:endParaRPr lang="nl-NL" sz="1100">
              <a:solidFill>
                <a:schemeClr val="lt1"/>
              </a:solidFill>
              <a:latin typeface="+mn-lt"/>
              <a:ea typeface="+mn-ea"/>
              <a:cs typeface="+mn-cs"/>
            </a:endParaRPr>
          </a:p>
        </xdr:txBody>
      </xdr:sp>
      <xdr:sp macro="" textlink="">
        <xdr:nvSpPr>
          <xdr:cNvPr id="5" name="Rechthoek 4">
            <a:extLst>
              <a:ext uri="{FF2B5EF4-FFF2-40B4-BE49-F238E27FC236}">
                <a16:creationId xmlns:a16="http://schemas.microsoft.com/office/drawing/2014/main" id="{122C3F9B-3299-434D-BBD1-B48DBD8AA0FB}"/>
              </a:ext>
            </a:extLst>
          </xdr:cNvPr>
          <xdr:cNvSpPr/>
        </xdr:nvSpPr>
        <xdr:spPr>
          <a:xfrm>
            <a:off x="10886" y="10886"/>
            <a:ext cx="14214443" cy="624840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6" name="Rechthoek 5">
            <a:extLst>
              <a:ext uri="{FF2B5EF4-FFF2-40B4-BE49-F238E27FC236}">
                <a16:creationId xmlns:a16="http://schemas.microsoft.com/office/drawing/2014/main" id="{9AFD09AF-EBF4-425F-BBDD-833B409E9022}"/>
              </a:ext>
            </a:extLst>
          </xdr:cNvPr>
          <xdr:cNvSpPr/>
        </xdr:nvSpPr>
        <xdr:spPr>
          <a:xfrm>
            <a:off x="15065828" y="32659"/>
            <a:ext cx="17939657" cy="624840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7" name="Rechthoek 6">
            <a:extLst>
              <a:ext uri="{FF2B5EF4-FFF2-40B4-BE49-F238E27FC236}">
                <a16:creationId xmlns:a16="http://schemas.microsoft.com/office/drawing/2014/main" id="{87DD4436-B283-4F6A-851E-B876857102FD}"/>
              </a:ext>
            </a:extLst>
          </xdr:cNvPr>
          <xdr:cNvSpPr/>
        </xdr:nvSpPr>
        <xdr:spPr>
          <a:xfrm>
            <a:off x="14200822" y="0"/>
            <a:ext cx="1077686" cy="2492829"/>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sp macro="" textlink="">
        <xdr:nvSpPr>
          <xdr:cNvPr id="8" name="Rechthoek 7">
            <a:extLst>
              <a:ext uri="{FF2B5EF4-FFF2-40B4-BE49-F238E27FC236}">
                <a16:creationId xmlns:a16="http://schemas.microsoft.com/office/drawing/2014/main" id="{F81EC7D1-A1F7-420A-BB94-94919EA41F04}"/>
              </a:ext>
            </a:extLst>
          </xdr:cNvPr>
          <xdr:cNvSpPr/>
        </xdr:nvSpPr>
        <xdr:spPr>
          <a:xfrm>
            <a:off x="0" y="6281054"/>
            <a:ext cx="33016370" cy="27421117"/>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grpSp>
    <xdr:clientData/>
  </xdr:twoCellAnchor>
  <xdr:twoCellAnchor>
    <xdr:from>
      <xdr:col>9</xdr:col>
      <xdr:colOff>43544</xdr:colOff>
      <xdr:row>0</xdr:row>
      <xdr:rowOff>0</xdr:rowOff>
    </xdr:from>
    <xdr:to>
      <xdr:col>11</xdr:col>
      <xdr:colOff>152400</xdr:colOff>
      <xdr:row>26</xdr:row>
      <xdr:rowOff>185057</xdr:rowOff>
    </xdr:to>
    <xdr:sp macro="" textlink="">
      <xdr:nvSpPr>
        <xdr:cNvPr id="10" name="Rechthoek 9">
          <a:extLst>
            <a:ext uri="{FF2B5EF4-FFF2-40B4-BE49-F238E27FC236}">
              <a16:creationId xmlns:a16="http://schemas.microsoft.com/office/drawing/2014/main" id="{69B31DD1-7CBE-4BE9-A935-32D0BEA2E24F}"/>
            </a:ext>
          </a:extLst>
        </xdr:cNvPr>
        <xdr:cNvSpPr/>
      </xdr:nvSpPr>
      <xdr:spPr>
        <a:xfrm>
          <a:off x="15044058" y="0"/>
          <a:ext cx="18037628" cy="6248400"/>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nl-NL" sz="1100">
            <a:solidFill>
              <a:schemeClr val="lt1"/>
            </a:solidFill>
            <a:latin typeface="+mn-lt"/>
            <a:ea typeface="+mn-ea"/>
            <a:cs typeface="+mn-cs"/>
          </a:endParaRPr>
        </a:p>
      </xdr:txBody>
    </xdr:sp>
    <xdr:clientData/>
  </xdr:twoCellAnchor>
  <xdr:twoCellAnchor>
    <xdr:from>
      <xdr:col>6</xdr:col>
      <xdr:colOff>500744</xdr:colOff>
      <xdr:row>0</xdr:row>
      <xdr:rowOff>0</xdr:rowOff>
    </xdr:from>
    <xdr:to>
      <xdr:col>9</xdr:col>
      <xdr:colOff>54429</xdr:colOff>
      <xdr:row>6</xdr:row>
      <xdr:rowOff>141513</xdr:rowOff>
    </xdr:to>
    <xdr:sp macro="" textlink="">
      <xdr:nvSpPr>
        <xdr:cNvPr id="11" name="Rechthoek 10">
          <a:extLst>
            <a:ext uri="{FF2B5EF4-FFF2-40B4-BE49-F238E27FC236}">
              <a16:creationId xmlns:a16="http://schemas.microsoft.com/office/drawing/2014/main" id="{03EF2BD1-0D2D-48FF-BD80-B5A8AAA2C3BA}"/>
            </a:ext>
          </a:extLst>
        </xdr:cNvPr>
        <xdr:cNvSpPr/>
      </xdr:nvSpPr>
      <xdr:spPr>
        <a:xfrm>
          <a:off x="14282058" y="0"/>
          <a:ext cx="772885" cy="2503713"/>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NL" sz="1100"/>
        </a:p>
      </xdr:txBody>
    </xdr:sp>
    <xdr:clientData/>
  </xdr:twoCellAnchor>
  <xdr:twoCellAnchor>
    <xdr:from>
      <xdr:col>0</xdr:col>
      <xdr:colOff>0</xdr:colOff>
      <xdr:row>27</xdr:row>
      <xdr:rowOff>10884</xdr:rowOff>
    </xdr:from>
    <xdr:to>
      <xdr:col>11</xdr:col>
      <xdr:colOff>97970</xdr:colOff>
      <xdr:row>166</xdr:row>
      <xdr:rowOff>130629</xdr:rowOff>
    </xdr:to>
    <xdr:sp macro="" textlink="">
      <xdr:nvSpPr>
        <xdr:cNvPr id="12" name="Rechthoek 11">
          <a:extLst>
            <a:ext uri="{FF2B5EF4-FFF2-40B4-BE49-F238E27FC236}">
              <a16:creationId xmlns:a16="http://schemas.microsoft.com/office/drawing/2014/main" id="{9A0EC168-B040-4C5F-AD7C-B4B92CEDDE8E}"/>
            </a:ext>
          </a:extLst>
        </xdr:cNvPr>
        <xdr:cNvSpPr/>
      </xdr:nvSpPr>
      <xdr:spPr>
        <a:xfrm>
          <a:off x="0" y="6270170"/>
          <a:ext cx="33027256" cy="26996573"/>
        </a:xfrm>
        <a:prstGeom prst="rect">
          <a:avLst/>
        </a:prstGeom>
        <a:solidFill>
          <a:srgbClr val="FFFFFF">
            <a:alpha val="1961"/>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nl-NL" sz="1100">
            <a:solidFill>
              <a:schemeClr val="lt1"/>
            </a:solidFill>
            <a:latin typeface="+mn-lt"/>
            <a:ea typeface="+mn-ea"/>
            <a:cs typeface="+mn-cs"/>
          </a:endParaRPr>
        </a:p>
      </xdr:txBody>
    </xdr:sp>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98E83-F036-4733-810C-4608545C095D}">
  <sheetPr>
    <tabColor rgb="FF00B0F0"/>
  </sheetPr>
  <dimension ref="A3:Y510"/>
  <sheetViews>
    <sheetView showGridLines="0" showRowColHeaders="0" tabSelected="1" zoomScale="145" zoomScaleNormal="145" workbookViewId="0">
      <selection activeCell="F8" sqref="F8"/>
    </sheetView>
  </sheetViews>
  <sheetFormatPr defaultRowHeight="14.4" x14ac:dyDescent="0.3"/>
  <cols>
    <col min="1" max="1" width="9.88671875" customWidth="1"/>
  </cols>
  <sheetData>
    <row r="3" spans="1:18" ht="21" x14ac:dyDescent="0.4">
      <c r="F3" s="34" t="s">
        <v>1</v>
      </c>
      <c r="G3" s="4"/>
      <c r="H3" s="4"/>
      <c r="I3" s="4"/>
      <c r="J3" s="4"/>
    </row>
    <row r="4" spans="1:18" ht="15.6" x14ac:dyDescent="0.3">
      <c r="F4" s="842" t="s">
        <v>0</v>
      </c>
      <c r="G4" s="4"/>
      <c r="H4" s="4"/>
      <c r="I4" s="4"/>
      <c r="J4" s="4"/>
    </row>
    <row r="5" spans="1:18" ht="21" x14ac:dyDescent="0.4">
      <c r="B5" s="34"/>
      <c r="F5" s="843" t="s">
        <v>2</v>
      </c>
      <c r="G5" s="4"/>
      <c r="H5" s="4"/>
      <c r="I5" s="4"/>
      <c r="J5" s="4"/>
    </row>
    <row r="6" spans="1:18" ht="21" x14ac:dyDescent="0.4">
      <c r="B6" s="34"/>
      <c r="F6" s="4"/>
      <c r="G6" s="4"/>
      <c r="H6" s="4"/>
    </row>
    <row r="7" spans="1:18" s="892" customFormat="1" x14ac:dyDescent="0.3">
      <c r="A7" s="891"/>
      <c r="B7" s="891"/>
      <c r="C7" s="891"/>
      <c r="D7" s="891"/>
      <c r="E7" s="891"/>
      <c r="F7" s="893" t="s">
        <v>456</v>
      </c>
      <c r="G7" s="893"/>
      <c r="H7" s="893"/>
      <c r="I7" s="893"/>
      <c r="J7" s="893"/>
      <c r="K7" s="893"/>
      <c r="L7" s="893"/>
      <c r="M7" s="893"/>
      <c r="N7" s="893"/>
      <c r="O7" s="893"/>
      <c r="P7" s="893"/>
    </row>
    <row r="8" spans="1:18" s="4" customFormat="1" x14ac:dyDescent="0.3">
      <c r="A8" s="844"/>
      <c r="B8" s="844"/>
      <c r="C8" s="844"/>
      <c r="D8" s="844"/>
      <c r="E8" s="844"/>
      <c r="F8" s="885" t="s">
        <v>457</v>
      </c>
      <c r="G8" s="885"/>
      <c r="H8" s="885"/>
      <c r="I8" s="885"/>
      <c r="J8" s="885"/>
      <c r="K8" s="885"/>
      <c r="L8" s="885"/>
      <c r="M8" s="885"/>
      <c r="N8" s="885"/>
      <c r="O8" s="885"/>
      <c r="P8" s="885"/>
    </row>
    <row r="9" spans="1:18" s="4" customFormat="1" x14ac:dyDescent="0.3">
      <c r="A9" s="844"/>
      <c r="B9" s="844"/>
      <c r="C9" s="844"/>
      <c r="D9" s="844"/>
      <c r="E9" s="844"/>
      <c r="F9" s="885" t="s">
        <v>458</v>
      </c>
      <c r="G9" s="885"/>
      <c r="H9" s="885"/>
      <c r="I9" s="885"/>
      <c r="J9" s="885"/>
      <c r="K9" s="885"/>
      <c r="L9" s="885"/>
      <c r="M9" s="885"/>
      <c r="N9" s="885"/>
      <c r="O9" s="885"/>
      <c r="P9" s="885"/>
    </row>
    <row r="10" spans="1:18" s="4" customFormat="1" x14ac:dyDescent="0.3">
      <c r="A10" s="844"/>
      <c r="B10" s="844"/>
      <c r="C10" s="844"/>
      <c r="D10" s="844"/>
      <c r="E10" s="844"/>
      <c r="F10" s="885" t="s">
        <v>459</v>
      </c>
      <c r="G10" s="885"/>
      <c r="H10" s="885"/>
      <c r="I10" s="885"/>
      <c r="J10" s="885"/>
      <c r="K10" s="885"/>
      <c r="L10" s="885"/>
      <c r="M10" s="885"/>
      <c r="N10" s="885"/>
      <c r="O10" s="885"/>
      <c r="P10" s="885"/>
    </row>
    <row r="11" spans="1:18" ht="21" x14ac:dyDescent="0.4">
      <c r="B11" s="34"/>
    </row>
    <row r="12" spans="1:18" ht="208.2" customHeight="1" x14ac:dyDescent="0.4">
      <c r="A12" s="845"/>
      <c r="B12" s="846"/>
      <c r="C12" s="847"/>
      <c r="D12" s="847"/>
      <c r="E12" s="848"/>
      <c r="F12" s="845"/>
      <c r="G12" s="847"/>
      <c r="H12" s="847"/>
      <c r="I12" s="848"/>
      <c r="J12" s="845"/>
      <c r="K12" s="847"/>
      <c r="L12" s="848"/>
      <c r="M12" s="845"/>
      <c r="N12" s="847"/>
      <c r="O12" s="847"/>
      <c r="P12" s="848"/>
    </row>
    <row r="13" spans="1:18" ht="21" x14ac:dyDescent="0.4">
      <c r="A13" s="34"/>
    </row>
    <row r="14" spans="1:18" ht="21" x14ac:dyDescent="0.4">
      <c r="A14" s="34" t="s">
        <v>460</v>
      </c>
    </row>
    <row r="15" spans="1:18" x14ac:dyDescent="0.3">
      <c r="A15" s="849" t="s">
        <v>48</v>
      </c>
      <c r="B15" s="850" t="s">
        <v>326</v>
      </c>
      <c r="C15" s="850"/>
      <c r="D15" s="850"/>
      <c r="E15" s="850"/>
      <c r="F15" s="850"/>
      <c r="G15" s="850"/>
      <c r="H15" s="850"/>
      <c r="I15" s="850"/>
      <c r="J15" s="850"/>
      <c r="K15" s="850"/>
      <c r="L15" s="850"/>
      <c r="M15" s="850"/>
      <c r="N15" s="850"/>
      <c r="O15" s="850"/>
      <c r="P15" s="851"/>
      <c r="Q15" s="36"/>
      <c r="R15" s="36"/>
    </row>
    <row r="16" spans="1:18" x14ac:dyDescent="0.3">
      <c r="A16" s="852"/>
      <c r="B16" s="853" t="s">
        <v>461</v>
      </c>
      <c r="C16" s="853"/>
      <c r="D16" s="853"/>
      <c r="E16" s="853"/>
      <c r="F16" s="853"/>
      <c r="G16" s="853"/>
      <c r="H16" s="853"/>
      <c r="I16" s="853"/>
      <c r="J16" s="853"/>
      <c r="K16" s="853"/>
      <c r="L16" s="853"/>
      <c r="M16" s="853"/>
      <c r="N16" s="853"/>
      <c r="O16" s="853"/>
      <c r="P16" s="854"/>
      <c r="Q16" s="36"/>
      <c r="R16" s="36"/>
    </row>
    <row r="17" spans="1:18" x14ac:dyDescent="0.3">
      <c r="A17" s="855" t="s">
        <v>462</v>
      </c>
      <c r="B17" s="36" t="s">
        <v>463</v>
      </c>
      <c r="C17" s="36"/>
      <c r="D17" s="36"/>
      <c r="E17" s="36"/>
      <c r="F17" s="36"/>
      <c r="G17" s="36"/>
      <c r="H17" s="36"/>
      <c r="I17" s="36"/>
      <c r="J17" s="36"/>
      <c r="K17" s="36"/>
      <c r="L17" s="36"/>
      <c r="M17" s="36"/>
      <c r="N17" s="36"/>
      <c r="O17" s="36"/>
      <c r="P17" s="856"/>
      <c r="Q17" s="36"/>
      <c r="R17" s="36"/>
    </row>
    <row r="18" spans="1:18" x14ac:dyDescent="0.3">
      <c r="A18" s="855"/>
      <c r="B18" s="36" t="s">
        <v>464</v>
      </c>
      <c r="C18" s="36"/>
      <c r="D18" s="36"/>
      <c r="E18" s="36"/>
      <c r="F18" s="36"/>
      <c r="G18" s="36"/>
      <c r="H18" s="36"/>
      <c r="I18" s="36"/>
      <c r="J18" s="36"/>
      <c r="K18" s="36"/>
      <c r="L18" s="36"/>
      <c r="M18" s="36"/>
      <c r="N18" s="36"/>
      <c r="O18" s="36"/>
      <c r="P18" s="856"/>
      <c r="Q18" s="36"/>
      <c r="R18" s="36"/>
    </row>
    <row r="19" spans="1:18" x14ac:dyDescent="0.3">
      <c r="A19" s="855"/>
      <c r="B19" s="36" t="s">
        <v>465</v>
      </c>
      <c r="C19" s="36"/>
      <c r="D19" s="36"/>
      <c r="E19" s="36"/>
      <c r="F19" s="36"/>
      <c r="G19" s="36"/>
      <c r="H19" s="36"/>
      <c r="I19" s="36"/>
      <c r="J19" s="36"/>
      <c r="K19" s="36"/>
      <c r="L19" s="36"/>
      <c r="M19" s="36"/>
      <c r="N19" s="36"/>
      <c r="O19" s="36"/>
      <c r="P19" s="856"/>
      <c r="Q19" s="36"/>
      <c r="R19" s="36"/>
    </row>
    <row r="20" spans="1:18" x14ac:dyDescent="0.3">
      <c r="A20" s="855"/>
      <c r="B20" s="36" t="s">
        <v>466</v>
      </c>
      <c r="C20" s="36"/>
      <c r="D20" s="36"/>
      <c r="E20" s="36"/>
      <c r="F20" s="36"/>
      <c r="G20" s="36"/>
      <c r="H20" s="36"/>
      <c r="I20" s="36"/>
      <c r="J20" s="36"/>
      <c r="K20" s="36"/>
      <c r="L20" s="36"/>
      <c r="M20" s="36"/>
      <c r="N20" s="36"/>
      <c r="O20" s="36"/>
      <c r="P20" s="856"/>
      <c r="Q20" s="36"/>
      <c r="R20" s="36"/>
    </row>
    <row r="21" spans="1:18" x14ac:dyDescent="0.3">
      <c r="A21" s="849" t="s">
        <v>467</v>
      </c>
      <c r="B21" s="850" t="s">
        <v>468</v>
      </c>
      <c r="C21" s="850"/>
      <c r="D21" s="850"/>
      <c r="E21" s="850"/>
      <c r="F21" s="850"/>
      <c r="G21" s="850"/>
      <c r="H21" s="850"/>
      <c r="I21" s="850"/>
      <c r="J21" s="850"/>
      <c r="K21" s="850"/>
      <c r="L21" s="850"/>
      <c r="M21" s="850"/>
      <c r="N21" s="850"/>
      <c r="O21" s="850"/>
      <c r="P21" s="851"/>
      <c r="Q21" s="36"/>
      <c r="R21" s="36"/>
    </row>
    <row r="22" spans="1:18" x14ac:dyDescent="0.3">
      <c r="A22" s="855"/>
      <c r="B22" s="36" t="s">
        <v>469</v>
      </c>
      <c r="C22" s="36"/>
      <c r="D22" s="36"/>
      <c r="E22" s="36"/>
      <c r="F22" s="36"/>
      <c r="G22" s="36"/>
      <c r="H22" s="36"/>
      <c r="I22" s="36"/>
      <c r="J22" s="36"/>
      <c r="K22" s="36"/>
      <c r="L22" s="36"/>
      <c r="M22" s="36"/>
      <c r="N22" s="36"/>
      <c r="O22" s="36"/>
      <c r="P22" s="856"/>
      <c r="Q22" s="36"/>
      <c r="R22" s="36"/>
    </row>
    <row r="23" spans="1:18" x14ac:dyDescent="0.3">
      <c r="A23" s="855"/>
      <c r="B23" s="36" t="s">
        <v>470</v>
      </c>
      <c r="C23" s="36"/>
      <c r="D23" s="36"/>
      <c r="E23" s="36"/>
      <c r="F23" s="36"/>
      <c r="G23" s="36"/>
      <c r="H23" s="36"/>
      <c r="I23" s="36"/>
      <c r="J23" s="36"/>
      <c r="K23" s="36"/>
      <c r="L23" s="36"/>
      <c r="M23" s="36"/>
      <c r="N23" s="36"/>
      <c r="O23" s="36"/>
      <c r="P23" s="856"/>
      <c r="Q23" s="36"/>
      <c r="R23" s="36"/>
    </row>
    <row r="24" spans="1:18" x14ac:dyDescent="0.3">
      <c r="A24" s="855"/>
      <c r="B24" s="36" t="s">
        <v>471</v>
      </c>
      <c r="C24" s="36"/>
      <c r="D24" s="36"/>
      <c r="E24" s="36"/>
      <c r="F24" s="36"/>
      <c r="G24" s="36"/>
      <c r="H24" s="36"/>
      <c r="I24" s="36"/>
      <c r="J24" s="36"/>
      <c r="K24" s="36"/>
      <c r="L24" s="36"/>
      <c r="M24" s="36"/>
      <c r="N24" s="36"/>
      <c r="O24" s="36"/>
      <c r="P24" s="856"/>
      <c r="Q24" s="36"/>
      <c r="R24" s="36"/>
    </row>
    <row r="25" spans="1:18" x14ac:dyDescent="0.3">
      <c r="A25" s="855"/>
      <c r="B25" s="36" t="s">
        <v>472</v>
      </c>
      <c r="C25" s="36"/>
      <c r="D25" s="36"/>
      <c r="E25" s="36"/>
      <c r="F25" s="36"/>
      <c r="G25" s="36"/>
      <c r="H25" s="36"/>
      <c r="I25" s="36"/>
      <c r="J25" s="36"/>
      <c r="K25" s="36"/>
      <c r="L25" s="36"/>
      <c r="M25" s="36"/>
      <c r="N25" s="36"/>
      <c r="O25" s="36"/>
      <c r="P25" s="856"/>
      <c r="Q25" s="36"/>
      <c r="R25" s="36"/>
    </row>
    <row r="26" spans="1:18" x14ac:dyDescent="0.3">
      <c r="A26" s="852"/>
      <c r="B26" s="853" t="s">
        <v>473</v>
      </c>
      <c r="C26" s="853"/>
      <c r="D26" s="853"/>
      <c r="E26" s="853"/>
      <c r="F26" s="853"/>
      <c r="G26" s="853"/>
      <c r="H26" s="853"/>
      <c r="I26" s="853"/>
      <c r="J26" s="853"/>
      <c r="K26" s="853"/>
      <c r="L26" s="853"/>
      <c r="M26" s="853"/>
      <c r="N26" s="853"/>
      <c r="O26" s="853"/>
      <c r="P26" s="854"/>
      <c r="Q26" s="36"/>
      <c r="R26" s="36"/>
    </row>
    <row r="27" spans="1:18" x14ac:dyDescent="0.3">
      <c r="A27" s="849" t="s">
        <v>474</v>
      </c>
      <c r="B27" s="850" t="s">
        <v>475</v>
      </c>
      <c r="C27" s="850"/>
      <c r="D27" s="850"/>
      <c r="E27" s="850"/>
      <c r="F27" s="850"/>
      <c r="G27" s="850"/>
      <c r="H27" s="850"/>
      <c r="I27" s="850"/>
      <c r="J27" s="850"/>
      <c r="K27" s="850"/>
      <c r="L27" s="850"/>
      <c r="M27" s="850"/>
      <c r="N27" s="850"/>
      <c r="O27" s="850"/>
      <c r="P27" s="851"/>
      <c r="Q27" s="36"/>
      <c r="R27" s="36"/>
    </row>
    <row r="28" spans="1:18" x14ac:dyDescent="0.3">
      <c r="A28" s="855"/>
      <c r="B28" s="36" t="s">
        <v>476</v>
      </c>
      <c r="C28" s="36"/>
      <c r="D28" s="36"/>
      <c r="E28" s="36"/>
      <c r="F28" s="36"/>
      <c r="G28" s="36"/>
      <c r="H28" s="36"/>
      <c r="I28" s="36"/>
      <c r="J28" s="36"/>
      <c r="K28" s="36"/>
      <c r="L28" s="36"/>
      <c r="M28" s="36"/>
      <c r="N28" s="36"/>
      <c r="O28" s="36"/>
      <c r="P28" s="856"/>
      <c r="Q28" s="36"/>
      <c r="R28" s="36"/>
    </row>
    <row r="29" spans="1:18" x14ac:dyDescent="0.3">
      <c r="A29" s="852"/>
      <c r="B29" s="853" t="s">
        <v>3</v>
      </c>
      <c r="C29" s="853"/>
      <c r="D29" s="853"/>
      <c r="E29" s="853"/>
      <c r="F29" s="853"/>
      <c r="G29" s="853"/>
      <c r="H29" s="853"/>
      <c r="I29" s="853"/>
      <c r="J29" s="853"/>
      <c r="K29" s="853"/>
      <c r="L29" s="853"/>
      <c r="M29" s="853"/>
      <c r="N29" s="853"/>
      <c r="O29" s="853"/>
      <c r="P29" s="854"/>
      <c r="Q29" s="36"/>
      <c r="R29" s="36"/>
    </row>
    <row r="30" spans="1:18" x14ac:dyDescent="0.3">
      <c r="A30" s="857" t="s">
        <v>477</v>
      </c>
      <c r="B30" s="858" t="s">
        <v>478</v>
      </c>
      <c r="C30" s="858"/>
      <c r="D30" s="858"/>
      <c r="E30" s="858"/>
      <c r="F30" s="858"/>
      <c r="G30" s="858"/>
      <c r="H30" s="858"/>
      <c r="I30" s="858"/>
      <c r="J30" s="858"/>
      <c r="K30" s="858"/>
      <c r="L30" s="858"/>
      <c r="M30" s="858"/>
      <c r="N30" s="858"/>
      <c r="O30" s="858"/>
      <c r="P30" s="859"/>
      <c r="Q30" s="36"/>
      <c r="R30" s="36"/>
    </row>
    <row r="31" spans="1:18" x14ac:dyDescent="0.3">
      <c r="A31" s="884" t="s">
        <v>656</v>
      </c>
      <c r="B31" s="36"/>
      <c r="C31" s="36"/>
      <c r="D31" s="36"/>
      <c r="E31" s="36"/>
      <c r="F31" s="36"/>
      <c r="G31" s="36"/>
      <c r="H31" s="36"/>
      <c r="I31" s="36"/>
      <c r="J31" s="36"/>
      <c r="K31" s="36"/>
      <c r="L31" s="36"/>
      <c r="M31" s="36"/>
      <c r="N31" s="36"/>
      <c r="O31" s="36"/>
      <c r="P31" s="36"/>
      <c r="Q31" s="36"/>
      <c r="R31" s="36"/>
    </row>
    <row r="32" spans="1:18" x14ac:dyDescent="0.3">
      <c r="B32" s="860"/>
      <c r="C32" s="860"/>
      <c r="D32" s="860"/>
      <c r="E32" s="860"/>
      <c r="F32" s="860"/>
      <c r="G32" s="860"/>
      <c r="H32" s="860"/>
      <c r="I32" s="860"/>
      <c r="J32" s="860"/>
      <c r="K32" s="860"/>
      <c r="L32" s="860"/>
    </row>
    <row r="33" spans="1:18" ht="21" x14ac:dyDescent="0.4">
      <c r="A33" s="34" t="s">
        <v>479</v>
      </c>
    </row>
    <row r="34" spans="1:18" s="4" customFormat="1" x14ac:dyDescent="0.3">
      <c r="A34" s="886" t="s">
        <v>480</v>
      </c>
      <c r="B34" s="886"/>
      <c r="C34" s="886"/>
      <c r="D34" s="886"/>
      <c r="E34" s="886"/>
      <c r="F34" s="886"/>
      <c r="G34" s="886"/>
      <c r="H34" s="886"/>
      <c r="I34" s="886"/>
      <c r="L34" s="894" t="s">
        <v>660</v>
      </c>
      <c r="M34" s="886"/>
      <c r="N34" s="886"/>
      <c r="O34" s="887"/>
      <c r="P34" s="886"/>
    </row>
    <row r="35" spans="1:18" s="4" customFormat="1" x14ac:dyDescent="0.3">
      <c r="A35" s="886" t="s">
        <v>481</v>
      </c>
      <c r="B35" s="886"/>
      <c r="C35" s="886"/>
      <c r="D35" s="886"/>
      <c r="E35" s="886"/>
      <c r="F35" s="886"/>
      <c r="G35" s="886"/>
      <c r="H35" s="886"/>
      <c r="I35" s="886"/>
      <c r="L35" s="886" t="s">
        <v>657</v>
      </c>
      <c r="M35" s="886"/>
      <c r="N35" s="886"/>
      <c r="O35" s="887"/>
      <c r="P35" s="886"/>
    </row>
    <row r="36" spans="1:18" s="4" customFormat="1" x14ac:dyDescent="0.3">
      <c r="A36" s="886" t="s">
        <v>482</v>
      </c>
      <c r="B36" s="886"/>
      <c r="C36" s="886"/>
      <c r="D36" s="886"/>
      <c r="E36" s="886"/>
      <c r="F36" s="886"/>
      <c r="G36" s="886"/>
      <c r="H36" s="886"/>
      <c r="I36" s="886"/>
      <c r="L36" s="886" t="s">
        <v>658</v>
      </c>
      <c r="M36" s="886"/>
      <c r="N36" s="886"/>
      <c r="O36" s="887"/>
      <c r="P36" s="886"/>
    </row>
    <row r="37" spans="1:18" s="4" customFormat="1" x14ac:dyDescent="0.3">
      <c r="A37" s="886" t="s">
        <v>483</v>
      </c>
      <c r="B37" s="886"/>
      <c r="C37" s="886"/>
      <c r="D37" s="886"/>
      <c r="E37" s="886"/>
      <c r="F37" s="886"/>
      <c r="G37" s="886"/>
      <c r="H37" s="886"/>
      <c r="I37" s="886"/>
      <c r="L37" s="886" t="s">
        <v>659</v>
      </c>
      <c r="M37" s="886"/>
      <c r="N37" s="886"/>
      <c r="O37" s="887"/>
      <c r="P37" s="886"/>
    </row>
    <row r="38" spans="1:18" s="4" customFormat="1" x14ac:dyDescent="0.3">
      <c r="A38" s="886" t="s">
        <v>484</v>
      </c>
      <c r="B38" s="886"/>
      <c r="C38" s="886"/>
      <c r="D38" s="886"/>
      <c r="E38" s="886"/>
      <c r="F38" s="886"/>
      <c r="G38" s="886"/>
      <c r="H38" s="886"/>
      <c r="I38" s="886"/>
    </row>
    <row r="39" spans="1:18" s="4" customFormat="1" x14ac:dyDescent="0.3">
      <c r="A39" s="886" t="s">
        <v>485</v>
      </c>
      <c r="B39" s="886"/>
      <c r="C39" s="886"/>
      <c r="D39" s="886"/>
      <c r="E39" s="886"/>
      <c r="F39" s="886"/>
      <c r="G39" s="886"/>
      <c r="H39" s="886"/>
      <c r="I39" s="886"/>
    </row>
    <row r="40" spans="1:18" x14ac:dyDescent="0.3">
      <c r="A40" s="884" t="s">
        <v>656</v>
      </c>
    </row>
    <row r="41" spans="1:18" ht="18" x14ac:dyDescent="0.35">
      <c r="A41" s="33"/>
    </row>
    <row r="42" spans="1:18" x14ac:dyDescent="0.3">
      <c r="A42" s="861" t="s">
        <v>486</v>
      </c>
    </row>
    <row r="43" spans="1:18" x14ac:dyDescent="0.3">
      <c r="A43" s="861" t="s">
        <v>487</v>
      </c>
    </row>
    <row r="44" spans="1:18" ht="14.4" customHeight="1" x14ac:dyDescent="0.3">
      <c r="A44" s="4" t="s">
        <v>488</v>
      </c>
    </row>
    <row r="45" spans="1:18" ht="14.4" customHeight="1" x14ac:dyDescent="0.3">
      <c r="A45" s="4" t="s">
        <v>4</v>
      </c>
    </row>
    <row r="46" spans="1:18" ht="14.4" customHeight="1" x14ac:dyDescent="0.3">
      <c r="A46" s="4" t="s">
        <v>489</v>
      </c>
    </row>
    <row r="47" spans="1:18" ht="14.4" customHeight="1" x14ac:dyDescent="0.3">
      <c r="A47" s="4" t="s">
        <v>5</v>
      </c>
    </row>
    <row r="48" spans="1:18" ht="14.4" customHeight="1" x14ac:dyDescent="0.3">
      <c r="A48" s="4" t="s">
        <v>6</v>
      </c>
      <c r="R48" s="737"/>
    </row>
    <row r="49" spans="1:18" ht="14.4" customHeight="1" x14ac:dyDescent="0.3">
      <c r="A49" s="4" t="s">
        <v>7</v>
      </c>
      <c r="R49" s="737"/>
    </row>
    <row r="50" spans="1:18" x14ac:dyDescent="0.3">
      <c r="A50" s="884" t="s">
        <v>656</v>
      </c>
      <c r="B50" s="862"/>
      <c r="C50" s="862"/>
      <c r="D50" s="862"/>
      <c r="E50" s="862"/>
      <c r="R50" s="752"/>
    </row>
    <row r="51" spans="1:18" ht="18" x14ac:dyDescent="0.35">
      <c r="A51" s="33"/>
      <c r="R51" s="752"/>
    </row>
    <row r="52" spans="1:18" x14ac:dyDescent="0.3">
      <c r="A52" s="861" t="s">
        <v>490</v>
      </c>
    </row>
    <row r="53" spans="1:18" x14ac:dyDescent="0.3">
      <c r="A53" s="861" t="s">
        <v>491</v>
      </c>
    </row>
    <row r="54" spans="1:18" x14ac:dyDescent="0.3">
      <c r="A54" s="863" t="s">
        <v>492</v>
      </c>
    </row>
    <row r="55" spans="1:18" x14ac:dyDescent="0.3">
      <c r="A55" s="863" t="s">
        <v>493</v>
      </c>
    </row>
    <row r="56" spans="1:18" x14ac:dyDescent="0.3">
      <c r="A56" s="863" t="s">
        <v>494</v>
      </c>
    </row>
    <row r="57" spans="1:18" x14ac:dyDescent="0.3">
      <c r="A57" s="708" t="s">
        <v>495</v>
      </c>
    </row>
    <row r="58" spans="1:18" x14ac:dyDescent="0.3">
      <c r="A58" s="708" t="s">
        <v>329</v>
      </c>
    </row>
    <row r="59" spans="1:18" x14ac:dyDescent="0.3">
      <c r="A59" s="708" t="s">
        <v>328</v>
      </c>
    </row>
    <row r="60" spans="1:18" ht="56.4" customHeight="1" x14ac:dyDescent="0.3">
      <c r="D60" s="862"/>
    </row>
    <row r="61" spans="1:18" x14ac:dyDescent="0.3">
      <c r="A61" s="862"/>
    </row>
    <row r="62" spans="1:18" x14ac:dyDescent="0.3">
      <c r="A62" s="861" t="s">
        <v>496</v>
      </c>
    </row>
    <row r="63" spans="1:18" x14ac:dyDescent="0.3">
      <c r="A63" s="708" t="s">
        <v>497</v>
      </c>
    </row>
    <row r="64" spans="1:18" x14ac:dyDescent="0.3">
      <c r="A64" s="708" t="s">
        <v>8</v>
      </c>
    </row>
    <row r="65" spans="1:25" x14ac:dyDescent="0.3">
      <c r="A65" s="708" t="s">
        <v>330</v>
      </c>
    </row>
    <row r="66" spans="1:25" x14ac:dyDescent="0.3">
      <c r="A66" s="708" t="s">
        <v>331</v>
      </c>
    </row>
    <row r="67" spans="1:25" x14ac:dyDescent="0.3">
      <c r="A67" s="708" t="s">
        <v>332</v>
      </c>
    </row>
    <row r="69" spans="1:25" x14ac:dyDescent="0.3">
      <c r="A69" s="861" t="s">
        <v>498</v>
      </c>
    </row>
    <row r="70" spans="1:25" x14ac:dyDescent="0.3">
      <c r="A70" s="708" t="s">
        <v>9</v>
      </c>
    </row>
    <row r="71" spans="1:25" x14ac:dyDescent="0.3">
      <c r="A71" s="708" t="s">
        <v>499</v>
      </c>
    </row>
    <row r="72" spans="1:25" x14ac:dyDescent="0.3">
      <c r="A72" s="708" t="s">
        <v>10</v>
      </c>
    </row>
    <row r="73" spans="1:25" x14ac:dyDescent="0.3">
      <c r="A73" s="708" t="s">
        <v>11</v>
      </c>
    </row>
    <row r="75" spans="1:25" x14ac:dyDescent="0.3">
      <c r="A75" s="39" t="s">
        <v>500</v>
      </c>
    </row>
    <row r="76" spans="1:25" x14ac:dyDescent="0.3">
      <c r="A76" s="708" t="s">
        <v>333</v>
      </c>
    </row>
    <row r="77" spans="1:25" x14ac:dyDescent="0.3">
      <c r="A77" s="708" t="s">
        <v>501</v>
      </c>
      <c r="Y77" s="737"/>
    </row>
    <row r="78" spans="1:25" ht="67.8" customHeight="1" x14ac:dyDescent="0.3">
      <c r="A78" s="708"/>
      <c r="Y78" s="737"/>
    </row>
    <row r="79" spans="1:25" x14ac:dyDescent="0.3">
      <c r="A79" s="884" t="s">
        <v>656</v>
      </c>
      <c r="Y79" s="737"/>
    </row>
    <row r="80" spans="1:25" x14ac:dyDescent="0.3">
      <c r="A80" s="862"/>
      <c r="Y80" s="737"/>
    </row>
    <row r="81" spans="1:25" x14ac:dyDescent="0.3">
      <c r="A81" s="861" t="s">
        <v>502</v>
      </c>
      <c r="Y81" s="737"/>
    </row>
    <row r="82" spans="1:25" x14ac:dyDescent="0.3">
      <c r="A82" s="708" t="s">
        <v>503</v>
      </c>
    </row>
    <row r="83" spans="1:25" ht="88.8" customHeight="1" x14ac:dyDescent="0.3">
      <c r="A83" s="708"/>
    </row>
    <row r="84" spans="1:25" x14ac:dyDescent="0.3">
      <c r="A84" s="708" t="s">
        <v>504</v>
      </c>
    </row>
    <row r="85" spans="1:25" x14ac:dyDescent="0.3">
      <c r="A85" s="708" t="s">
        <v>334</v>
      </c>
    </row>
    <row r="86" spans="1:25" ht="39" customHeight="1" x14ac:dyDescent="0.3">
      <c r="A86" s="708"/>
    </row>
    <row r="87" spans="1:25" x14ac:dyDescent="0.3">
      <c r="A87" s="708" t="s">
        <v>12</v>
      </c>
    </row>
    <row r="88" spans="1:25" x14ac:dyDescent="0.3">
      <c r="A88" s="708" t="s">
        <v>342</v>
      </c>
    </row>
    <row r="89" spans="1:25" x14ac:dyDescent="0.3">
      <c r="A89" s="708" t="s">
        <v>335</v>
      </c>
    </row>
    <row r="90" spans="1:25" x14ac:dyDescent="0.3">
      <c r="A90" s="708" t="s">
        <v>336</v>
      </c>
    </row>
    <row r="91" spans="1:25" x14ac:dyDescent="0.3">
      <c r="A91" s="708" t="s">
        <v>505</v>
      </c>
    </row>
    <row r="92" spans="1:25" x14ac:dyDescent="0.3">
      <c r="A92" s="708" t="s">
        <v>506</v>
      </c>
    </row>
    <row r="93" spans="1:25" x14ac:dyDescent="0.3">
      <c r="A93" s="708"/>
    </row>
    <row r="94" spans="1:25" ht="90" customHeight="1" x14ac:dyDescent="0.3">
      <c r="A94" s="708"/>
    </row>
    <row r="95" spans="1:25" x14ac:dyDescent="0.3">
      <c r="A95" s="708" t="s">
        <v>13</v>
      </c>
    </row>
    <row r="96" spans="1:25" x14ac:dyDescent="0.3">
      <c r="A96" s="708" t="s">
        <v>337</v>
      </c>
    </row>
    <row r="97" spans="1:3" x14ac:dyDescent="0.3">
      <c r="A97" s="708" t="s">
        <v>338</v>
      </c>
    </row>
    <row r="98" spans="1:3" x14ac:dyDescent="0.3">
      <c r="A98" s="708" t="s">
        <v>14</v>
      </c>
    </row>
    <row r="99" spans="1:3" x14ac:dyDescent="0.3">
      <c r="A99" s="708" t="s">
        <v>339</v>
      </c>
    </row>
    <row r="100" spans="1:3" x14ac:dyDescent="0.3">
      <c r="A100" s="708" t="s">
        <v>15</v>
      </c>
    </row>
    <row r="101" spans="1:3" x14ac:dyDescent="0.3">
      <c r="A101" s="708" t="s">
        <v>507</v>
      </c>
    </row>
    <row r="102" spans="1:3" x14ac:dyDescent="0.3">
      <c r="A102" s="708" t="s">
        <v>16</v>
      </c>
    </row>
    <row r="103" spans="1:3" x14ac:dyDescent="0.3">
      <c r="A103" s="708"/>
    </row>
    <row r="104" spans="1:3" s="159" customFormat="1" x14ac:dyDescent="0.3">
      <c r="A104" s="708" t="s">
        <v>343</v>
      </c>
    </row>
    <row r="105" spans="1:3" hidden="1" x14ac:dyDescent="0.3">
      <c r="A105" s="159" t="s">
        <v>344</v>
      </c>
    </row>
    <row r="106" spans="1:3" x14ac:dyDescent="0.3">
      <c r="A106" s="160"/>
    </row>
    <row r="107" spans="1:3" s="159" customFormat="1" x14ac:dyDescent="0.3">
      <c r="A107" s="709" t="s">
        <v>341</v>
      </c>
    </row>
    <row r="108" spans="1:3" x14ac:dyDescent="0.3">
      <c r="A108" s="710" t="s">
        <v>340</v>
      </c>
    </row>
    <row r="109" spans="1:3" x14ac:dyDescent="0.3">
      <c r="A109" s="884" t="s">
        <v>656</v>
      </c>
    </row>
    <row r="110" spans="1:3" x14ac:dyDescent="0.3">
      <c r="C110" s="35"/>
    </row>
    <row r="111" spans="1:3" x14ac:dyDescent="0.3">
      <c r="A111" s="861" t="s">
        <v>508</v>
      </c>
      <c r="C111" s="864"/>
    </row>
    <row r="112" spans="1:3" x14ac:dyDescent="0.3">
      <c r="A112" s="39" t="s">
        <v>509</v>
      </c>
      <c r="C112" s="864"/>
    </row>
    <row r="113" spans="1:6" x14ac:dyDescent="0.3">
      <c r="A113" s="708" t="s">
        <v>510</v>
      </c>
      <c r="C113" s="864"/>
    </row>
    <row r="114" spans="1:6" x14ac:dyDescent="0.3">
      <c r="A114" s="708" t="s">
        <v>511</v>
      </c>
      <c r="C114" s="864"/>
    </row>
    <row r="115" spans="1:6" x14ac:dyDescent="0.3">
      <c r="A115" s="708" t="s">
        <v>362</v>
      </c>
      <c r="C115" s="864"/>
    </row>
    <row r="116" spans="1:6" ht="102" customHeight="1" x14ac:dyDescent="0.3">
      <c r="A116" s="708"/>
      <c r="C116" s="864"/>
    </row>
    <row r="117" spans="1:6" x14ac:dyDescent="0.3">
      <c r="A117" s="708" t="s">
        <v>512</v>
      </c>
      <c r="C117" s="864"/>
    </row>
    <row r="118" spans="1:6" x14ac:dyDescent="0.3">
      <c r="A118" s="708" t="s">
        <v>513</v>
      </c>
      <c r="C118" s="864"/>
    </row>
    <row r="119" spans="1:6" x14ac:dyDescent="0.3">
      <c r="A119" s="708"/>
      <c r="C119" s="864"/>
    </row>
    <row r="120" spans="1:6" x14ac:dyDescent="0.3">
      <c r="A120" s="708" t="s">
        <v>375</v>
      </c>
      <c r="C120" s="864"/>
    </row>
    <row r="121" spans="1:6" x14ac:dyDescent="0.3">
      <c r="A121" s="708" t="s">
        <v>361</v>
      </c>
      <c r="C121" s="864"/>
    </row>
    <row r="122" spans="1:6" x14ac:dyDescent="0.3">
      <c r="A122" s="36" t="s">
        <v>327</v>
      </c>
      <c r="C122" s="864"/>
      <c r="F122" s="36"/>
    </row>
    <row r="123" spans="1:6" x14ac:dyDescent="0.3">
      <c r="A123" s="36"/>
      <c r="C123" s="864"/>
      <c r="F123" s="36"/>
    </row>
    <row r="124" spans="1:6" x14ac:dyDescent="0.3">
      <c r="A124" s="708" t="s">
        <v>376</v>
      </c>
      <c r="C124" s="864"/>
    </row>
    <row r="125" spans="1:6" x14ac:dyDescent="0.3">
      <c r="A125" s="708" t="s">
        <v>377</v>
      </c>
      <c r="C125" s="864"/>
    </row>
    <row r="126" spans="1:6" x14ac:dyDescent="0.3">
      <c r="A126" s="708"/>
      <c r="C126" s="864"/>
    </row>
    <row r="127" spans="1:6" x14ac:dyDescent="0.3">
      <c r="A127" s="708" t="s">
        <v>514</v>
      </c>
      <c r="C127" s="864"/>
    </row>
    <row r="128" spans="1:6" x14ac:dyDescent="0.3">
      <c r="A128" s="708" t="s">
        <v>515</v>
      </c>
      <c r="C128" s="864"/>
    </row>
    <row r="129" spans="1:3" x14ac:dyDescent="0.3">
      <c r="A129" s="708" t="s">
        <v>379</v>
      </c>
      <c r="C129" s="864"/>
    </row>
    <row r="130" spans="1:3" x14ac:dyDescent="0.3">
      <c r="A130" s="708" t="s">
        <v>378</v>
      </c>
      <c r="C130" s="864"/>
    </row>
    <row r="131" spans="1:3" x14ac:dyDescent="0.3">
      <c r="A131" s="708"/>
      <c r="C131" s="864"/>
    </row>
    <row r="132" spans="1:3" x14ac:dyDescent="0.3">
      <c r="A132" s="708" t="s">
        <v>516</v>
      </c>
      <c r="C132" s="864"/>
    </row>
    <row r="133" spans="1:3" x14ac:dyDescent="0.3">
      <c r="A133" s="708" t="s">
        <v>517</v>
      </c>
      <c r="C133" s="864"/>
    </row>
    <row r="134" spans="1:3" x14ac:dyDescent="0.3">
      <c r="A134" s="708" t="s">
        <v>518</v>
      </c>
      <c r="C134" s="864"/>
    </row>
    <row r="135" spans="1:3" x14ac:dyDescent="0.3">
      <c r="C135" s="864"/>
    </row>
    <row r="136" spans="1:3" ht="50.4" customHeight="1" x14ac:dyDescent="0.3">
      <c r="A136" s="708"/>
      <c r="C136" s="864"/>
    </row>
    <row r="137" spans="1:3" x14ac:dyDescent="0.3">
      <c r="A137" s="884" t="s">
        <v>656</v>
      </c>
    </row>
    <row r="138" spans="1:3" x14ac:dyDescent="0.3">
      <c r="A138" s="862"/>
    </row>
    <row r="139" spans="1:3" x14ac:dyDescent="0.3">
      <c r="A139" s="861" t="s">
        <v>519</v>
      </c>
      <c r="C139" s="864"/>
    </row>
    <row r="140" spans="1:3" x14ac:dyDescent="0.3">
      <c r="A140" s="708" t="s">
        <v>363</v>
      </c>
      <c r="C140" s="864"/>
    </row>
    <row r="141" spans="1:3" x14ac:dyDescent="0.3">
      <c r="A141" s="708" t="s">
        <v>364</v>
      </c>
      <c r="C141" s="864"/>
    </row>
    <row r="142" spans="1:3" x14ac:dyDescent="0.3">
      <c r="A142" s="708" t="s">
        <v>520</v>
      </c>
      <c r="C142" s="864"/>
    </row>
    <row r="143" spans="1:3" ht="97.8" customHeight="1" x14ac:dyDescent="0.3">
      <c r="A143" s="708"/>
      <c r="C143" s="864"/>
    </row>
    <row r="144" spans="1:3" x14ac:dyDescent="0.3">
      <c r="A144" s="884" t="s">
        <v>656</v>
      </c>
    </row>
    <row r="145" spans="1:8" x14ac:dyDescent="0.3">
      <c r="A145" s="862"/>
    </row>
    <row r="146" spans="1:8" x14ac:dyDescent="0.3">
      <c r="A146" s="861" t="s">
        <v>521</v>
      </c>
      <c r="C146" s="864"/>
    </row>
    <row r="147" spans="1:8" x14ac:dyDescent="0.3">
      <c r="A147" s="4" t="s">
        <v>522</v>
      </c>
      <c r="C147" s="864"/>
    </row>
    <row r="148" spans="1:8" x14ac:dyDescent="0.3">
      <c r="A148" s="708" t="s">
        <v>380</v>
      </c>
      <c r="C148" s="864"/>
    </row>
    <row r="149" spans="1:8" ht="79.2" customHeight="1" x14ac:dyDescent="0.3">
      <c r="A149" s="708"/>
      <c r="C149" s="864"/>
    </row>
    <row r="150" spans="1:8" x14ac:dyDescent="0.3">
      <c r="A150" s="884" t="s">
        <v>656</v>
      </c>
    </row>
    <row r="151" spans="1:8" x14ac:dyDescent="0.3">
      <c r="A151" s="862"/>
    </row>
    <row r="152" spans="1:8" x14ac:dyDescent="0.3">
      <c r="D152" s="864"/>
    </row>
    <row r="153" spans="1:8" ht="21" x14ac:dyDescent="0.4">
      <c r="A153" s="34" t="s">
        <v>523</v>
      </c>
      <c r="D153" s="864"/>
    </row>
    <row r="154" spans="1:8" s="4" customFormat="1" x14ac:dyDescent="0.3">
      <c r="A154" s="886" t="s">
        <v>524</v>
      </c>
      <c r="B154" s="886"/>
      <c r="C154" s="886"/>
      <c r="D154" s="886"/>
      <c r="E154" s="886"/>
    </row>
    <row r="155" spans="1:8" s="4" customFormat="1" x14ac:dyDescent="0.3">
      <c r="A155" s="886" t="s">
        <v>525</v>
      </c>
      <c r="B155" s="886"/>
      <c r="C155" s="886"/>
      <c r="D155" s="886"/>
      <c r="E155" s="886"/>
      <c r="F155" s="886"/>
      <c r="G155" s="886"/>
    </row>
    <row r="156" spans="1:8" s="4" customFormat="1" x14ac:dyDescent="0.3">
      <c r="A156" s="886" t="s">
        <v>526</v>
      </c>
      <c r="B156" s="886"/>
      <c r="C156" s="886"/>
      <c r="D156" s="889"/>
      <c r="E156" s="886"/>
      <c r="F156" s="886"/>
      <c r="G156" s="886"/>
    </row>
    <row r="157" spans="1:8" x14ac:dyDescent="0.3">
      <c r="A157" s="862"/>
      <c r="B157" s="865"/>
      <c r="C157" s="865"/>
      <c r="D157" s="866"/>
      <c r="E157" s="865"/>
      <c r="F157" s="4"/>
      <c r="G157" s="4"/>
      <c r="H157" s="4"/>
    </row>
    <row r="158" spans="1:8" x14ac:dyDescent="0.3">
      <c r="A158" s="884" t="s">
        <v>656</v>
      </c>
      <c r="B158" s="862"/>
      <c r="C158" s="862"/>
      <c r="D158" s="862"/>
      <c r="E158" s="862"/>
    </row>
    <row r="159" spans="1:8" x14ac:dyDescent="0.3">
      <c r="A159" s="862"/>
      <c r="B159" s="862"/>
      <c r="C159" s="862"/>
      <c r="D159" s="862"/>
      <c r="E159" s="862"/>
    </row>
    <row r="160" spans="1:8" x14ac:dyDescent="0.3">
      <c r="A160" s="861" t="s">
        <v>527</v>
      </c>
      <c r="D160" s="864"/>
    </row>
    <row r="161" spans="1:11" s="4" customFormat="1" x14ac:dyDescent="0.3">
      <c r="A161" s="888" t="s">
        <v>528</v>
      </c>
      <c r="B161" s="886" t="str">
        <f>A171</f>
        <v>Hoe is de Circulaire Peiler gekoppeld aan klimaatdoelen/ grondstoffenakkoord?</v>
      </c>
      <c r="C161" s="886"/>
      <c r="D161" s="889"/>
      <c r="E161" s="886"/>
      <c r="F161" s="886"/>
      <c r="G161" s="886"/>
      <c r="H161" s="886"/>
      <c r="I161" s="886"/>
      <c r="J161" s="886"/>
      <c r="K161" s="886"/>
    </row>
    <row r="162" spans="1:11" s="4" customFormat="1" x14ac:dyDescent="0.3">
      <c r="A162" s="888" t="s">
        <v>528</v>
      </c>
      <c r="B162" s="886" t="str">
        <f>A181</f>
        <v>Hoe moet je de Circulaire Peiler zien in relatie tot andere duurzaamheidsinstrumenten?</v>
      </c>
      <c r="C162" s="886"/>
      <c r="D162" s="889"/>
      <c r="E162" s="886"/>
      <c r="F162" s="886"/>
      <c r="G162" s="886"/>
      <c r="H162" s="886"/>
      <c r="I162" s="886"/>
      <c r="J162" s="886"/>
      <c r="K162" s="886"/>
    </row>
    <row r="163" spans="1:11" s="4" customFormat="1" x14ac:dyDescent="0.3">
      <c r="A163" s="888" t="s">
        <v>528</v>
      </c>
      <c r="B163" s="886" t="str">
        <f>A187</f>
        <v>Wat is het verschil tussen de Procesmonitor en de Referentiemonitor van de circulaire peiler?</v>
      </c>
      <c r="C163" s="886"/>
      <c r="D163" s="887"/>
      <c r="E163" s="886"/>
      <c r="F163" s="886"/>
      <c r="G163" s="886"/>
      <c r="H163" s="886"/>
      <c r="I163" s="886"/>
      <c r="J163" s="886"/>
      <c r="K163" s="886"/>
    </row>
    <row r="164" spans="1:11" s="4" customFormat="1" x14ac:dyDescent="0.3">
      <c r="A164" s="888" t="s">
        <v>528</v>
      </c>
      <c r="B164" s="886" t="str">
        <f>A195</f>
        <v>Hoe werkt de procesmonitor in de Circulaire Peiler?</v>
      </c>
      <c r="C164" s="886"/>
      <c r="D164" s="887"/>
      <c r="E164" s="886"/>
      <c r="F164" s="886"/>
      <c r="G164" s="886"/>
      <c r="H164" s="886"/>
      <c r="I164" s="886"/>
      <c r="J164" s="886"/>
      <c r="K164" s="886"/>
    </row>
    <row r="165" spans="1:11" s="4" customFormat="1" x14ac:dyDescent="0.3">
      <c r="A165" s="888" t="s">
        <v>528</v>
      </c>
      <c r="B165" s="886" t="str">
        <f>A227</f>
        <v>Hoe werkt de referentiemonitor in de Circulaire Peiler?</v>
      </c>
      <c r="C165" s="886"/>
      <c r="D165" s="887"/>
      <c r="E165" s="886"/>
      <c r="F165" s="886"/>
      <c r="G165" s="886"/>
      <c r="H165" s="886"/>
      <c r="I165" s="886"/>
      <c r="J165" s="886"/>
      <c r="K165" s="886"/>
    </row>
    <row r="166" spans="1:11" s="4" customFormat="1" x14ac:dyDescent="0.3">
      <c r="A166" s="888" t="s">
        <v>528</v>
      </c>
      <c r="B166" s="886" t="str">
        <f>A238</f>
        <v>Hoe is de peiler in te zetten in ontwikkelprocessen?</v>
      </c>
      <c r="C166" s="886"/>
      <c r="D166" s="887"/>
      <c r="E166" s="886"/>
      <c r="F166" s="886"/>
      <c r="G166" s="886"/>
      <c r="H166" s="886"/>
      <c r="I166" s="886"/>
      <c r="J166" s="886"/>
      <c r="K166" s="886"/>
    </row>
    <row r="167" spans="1:11" s="4" customFormat="1" x14ac:dyDescent="0.3">
      <c r="A167" s="888" t="s">
        <v>528</v>
      </c>
      <c r="B167" s="886" t="str">
        <f>A257</f>
        <v>Hoe kom je aan goede referentiewaarden?</v>
      </c>
      <c r="C167" s="886"/>
      <c r="D167" s="887"/>
      <c r="E167" s="886"/>
      <c r="F167" s="886"/>
      <c r="G167" s="886"/>
      <c r="H167" s="886"/>
      <c r="I167" s="886"/>
      <c r="J167" s="886"/>
      <c r="K167" s="886"/>
    </row>
    <row r="168" spans="1:11" s="4" customFormat="1" x14ac:dyDescent="0.3">
      <c r="A168" s="888" t="s">
        <v>528</v>
      </c>
      <c r="B168" s="886" t="str">
        <f>A262</f>
        <v>Toelichting input referentiemonitor</v>
      </c>
      <c r="C168" s="886"/>
      <c r="D168" s="887"/>
      <c r="E168" s="886"/>
      <c r="F168" s="886"/>
      <c r="G168" s="886"/>
      <c r="H168" s="886"/>
      <c r="I168" s="886"/>
      <c r="J168" s="886"/>
      <c r="K168" s="886"/>
    </row>
    <row r="169" spans="1:11" s="4" customFormat="1" x14ac:dyDescent="0.3">
      <c r="A169" s="888" t="s">
        <v>528</v>
      </c>
      <c r="B169" s="886" t="str">
        <f>A279</f>
        <v>10-R model van Cramer</v>
      </c>
      <c r="C169" s="886"/>
      <c r="D169" s="887"/>
      <c r="E169" s="886"/>
      <c r="F169" s="886"/>
      <c r="G169" s="886"/>
      <c r="H169" s="886"/>
      <c r="I169" s="886"/>
      <c r="J169" s="886"/>
      <c r="K169" s="886"/>
    </row>
    <row r="170" spans="1:11" x14ac:dyDescent="0.3">
      <c r="A170" s="884" t="s">
        <v>656</v>
      </c>
      <c r="D170" s="864"/>
    </row>
    <row r="171" spans="1:11" x14ac:dyDescent="0.3">
      <c r="A171" s="861" t="s">
        <v>529</v>
      </c>
      <c r="B171" s="861"/>
      <c r="D171" s="864"/>
    </row>
    <row r="172" spans="1:11" x14ac:dyDescent="0.3">
      <c r="A172" s="4" t="s">
        <v>530</v>
      </c>
      <c r="B172" s="861"/>
      <c r="D172" s="864"/>
    </row>
    <row r="173" spans="1:11" x14ac:dyDescent="0.3">
      <c r="A173" s="4" t="s">
        <v>531</v>
      </c>
      <c r="B173" s="861"/>
      <c r="D173" s="864"/>
    </row>
    <row r="174" spans="1:11" x14ac:dyDescent="0.3">
      <c r="A174" s="4" t="s">
        <v>532</v>
      </c>
      <c r="B174" s="861"/>
      <c r="D174" s="864"/>
    </row>
    <row r="175" spans="1:11" x14ac:dyDescent="0.3">
      <c r="A175" s="4" t="s">
        <v>533</v>
      </c>
      <c r="B175" s="861"/>
      <c r="D175" s="864"/>
    </row>
    <row r="176" spans="1:11" x14ac:dyDescent="0.3">
      <c r="A176" s="4" t="s">
        <v>534</v>
      </c>
      <c r="B176" s="861"/>
      <c r="D176" s="864"/>
    </row>
    <row r="177" spans="1:4" x14ac:dyDescent="0.3">
      <c r="A177" s="4" t="s">
        <v>535</v>
      </c>
      <c r="B177" s="861"/>
      <c r="D177" s="864"/>
    </row>
    <row r="178" spans="1:4" x14ac:dyDescent="0.3">
      <c r="A178" s="4" t="s">
        <v>536</v>
      </c>
      <c r="B178" s="861"/>
      <c r="D178" s="864"/>
    </row>
    <row r="179" spans="1:4" x14ac:dyDescent="0.3">
      <c r="A179" s="4" t="s">
        <v>537</v>
      </c>
      <c r="B179" s="861"/>
      <c r="D179" s="864"/>
    </row>
    <row r="180" spans="1:4" x14ac:dyDescent="0.3">
      <c r="A180" s="884" t="s">
        <v>656</v>
      </c>
      <c r="D180" s="864"/>
    </row>
    <row r="181" spans="1:4" x14ac:dyDescent="0.3">
      <c r="A181" s="861" t="s">
        <v>538</v>
      </c>
      <c r="B181" s="861"/>
      <c r="D181" s="864"/>
    </row>
    <row r="182" spans="1:4" x14ac:dyDescent="0.3">
      <c r="A182" s="4" t="s">
        <v>539</v>
      </c>
      <c r="B182" s="861"/>
      <c r="D182" s="864"/>
    </row>
    <row r="183" spans="1:4" x14ac:dyDescent="0.3">
      <c r="A183" s="4" t="s">
        <v>540</v>
      </c>
      <c r="B183" s="861"/>
      <c r="D183" s="864"/>
    </row>
    <row r="184" spans="1:4" x14ac:dyDescent="0.3">
      <c r="A184" s="4" t="s">
        <v>541</v>
      </c>
      <c r="B184" s="861"/>
      <c r="D184" s="864"/>
    </row>
    <row r="185" spans="1:4" x14ac:dyDescent="0.3">
      <c r="A185" s="4" t="s">
        <v>542</v>
      </c>
      <c r="B185" s="861"/>
      <c r="D185" s="864"/>
    </row>
    <row r="186" spans="1:4" x14ac:dyDescent="0.3">
      <c r="A186" s="884" t="s">
        <v>656</v>
      </c>
      <c r="D186" s="864"/>
    </row>
    <row r="187" spans="1:4" x14ac:dyDescent="0.3">
      <c r="A187" s="861" t="s">
        <v>543</v>
      </c>
      <c r="B187" s="861"/>
      <c r="D187" s="864"/>
    </row>
    <row r="188" spans="1:4" x14ac:dyDescent="0.3">
      <c r="A188" s="867" t="s">
        <v>544</v>
      </c>
      <c r="B188" s="861"/>
      <c r="D188" s="864"/>
    </row>
    <row r="189" spans="1:4" x14ac:dyDescent="0.3">
      <c r="A189" s="868" t="s">
        <v>545</v>
      </c>
      <c r="B189" s="861"/>
      <c r="D189" s="864"/>
    </row>
    <row r="190" spans="1:4" x14ac:dyDescent="0.3">
      <c r="A190" s="868" t="s">
        <v>546</v>
      </c>
      <c r="B190" s="861"/>
      <c r="D190" s="864"/>
    </row>
    <row r="191" spans="1:4" x14ac:dyDescent="0.3">
      <c r="A191" s="868" t="s">
        <v>547</v>
      </c>
      <c r="B191" s="861"/>
      <c r="D191" s="864"/>
    </row>
    <row r="192" spans="1:4" x14ac:dyDescent="0.3">
      <c r="A192" s="868" t="s">
        <v>548</v>
      </c>
    </row>
    <row r="193" spans="1:4" x14ac:dyDescent="0.3">
      <c r="A193" s="868" t="s">
        <v>549</v>
      </c>
      <c r="B193" s="861"/>
      <c r="D193" s="864"/>
    </row>
    <row r="194" spans="1:4" x14ac:dyDescent="0.3">
      <c r="A194" s="884" t="s">
        <v>656</v>
      </c>
      <c r="D194" s="864"/>
    </row>
    <row r="195" spans="1:4" x14ac:dyDescent="0.3">
      <c r="A195" s="867" t="s">
        <v>550</v>
      </c>
      <c r="B195" s="861"/>
      <c r="D195" s="864"/>
    </row>
    <row r="196" spans="1:4" x14ac:dyDescent="0.3">
      <c r="A196" s="869" t="s">
        <v>551</v>
      </c>
      <c r="B196" s="861"/>
      <c r="D196" s="864"/>
    </row>
    <row r="197" spans="1:4" x14ac:dyDescent="0.3">
      <c r="A197" s="868" t="s">
        <v>552</v>
      </c>
      <c r="B197" s="861"/>
      <c r="D197" s="864"/>
    </row>
    <row r="198" spans="1:4" x14ac:dyDescent="0.3">
      <c r="A198" s="868" t="s">
        <v>553</v>
      </c>
      <c r="B198" s="861"/>
      <c r="D198" s="864"/>
    </row>
    <row r="199" spans="1:4" x14ac:dyDescent="0.3">
      <c r="A199" s="868" t="s">
        <v>554</v>
      </c>
      <c r="B199" s="861"/>
      <c r="D199" s="864"/>
    </row>
    <row r="200" spans="1:4" x14ac:dyDescent="0.3">
      <c r="A200" s="868" t="s">
        <v>555</v>
      </c>
      <c r="B200" s="861"/>
      <c r="D200" s="864"/>
    </row>
    <row r="201" spans="1:4" x14ac:dyDescent="0.3">
      <c r="A201" s="868" t="s">
        <v>556</v>
      </c>
      <c r="B201" s="861"/>
      <c r="D201" s="864"/>
    </row>
    <row r="202" spans="1:4" x14ac:dyDescent="0.3">
      <c r="A202" s="868" t="s">
        <v>557</v>
      </c>
      <c r="B202" s="861"/>
      <c r="D202" s="864"/>
    </row>
    <row r="203" spans="1:4" x14ac:dyDescent="0.3">
      <c r="A203" s="868" t="s">
        <v>558</v>
      </c>
      <c r="B203" s="861"/>
      <c r="D203" s="864"/>
    </row>
    <row r="204" spans="1:4" x14ac:dyDescent="0.3">
      <c r="B204" s="861"/>
      <c r="D204" s="864"/>
    </row>
    <row r="205" spans="1:4" x14ac:dyDescent="0.3">
      <c r="A205" s="868" t="s">
        <v>559</v>
      </c>
      <c r="B205" s="861"/>
      <c r="D205" s="864"/>
    </row>
    <row r="206" spans="1:4" x14ac:dyDescent="0.3">
      <c r="A206" s="868" t="s">
        <v>560</v>
      </c>
      <c r="B206" s="861"/>
      <c r="D206" s="864"/>
    </row>
    <row r="207" spans="1:4" x14ac:dyDescent="0.3">
      <c r="A207" s="868" t="s">
        <v>561</v>
      </c>
      <c r="B207" s="861"/>
      <c r="D207" s="864"/>
    </row>
    <row r="208" spans="1:4" x14ac:dyDescent="0.3">
      <c r="A208" s="868" t="s">
        <v>562</v>
      </c>
      <c r="B208" s="861"/>
      <c r="D208" s="864"/>
    </row>
    <row r="209" spans="1:14" x14ac:dyDescent="0.3">
      <c r="A209" s="868" t="s">
        <v>563</v>
      </c>
      <c r="B209" s="861"/>
      <c r="D209" s="864"/>
      <c r="K209" s="870"/>
    </row>
    <row r="210" spans="1:14" x14ac:dyDescent="0.3">
      <c r="A210" s="884" t="s">
        <v>656</v>
      </c>
      <c r="D210" s="864"/>
      <c r="K210" s="870"/>
    </row>
    <row r="211" spans="1:14" x14ac:dyDescent="0.3">
      <c r="A211" s="871"/>
      <c r="B211" s="861"/>
      <c r="D211" s="864"/>
      <c r="K211" s="870"/>
    </row>
    <row r="212" spans="1:14" x14ac:dyDescent="0.3">
      <c r="A212" s="871"/>
      <c r="B212" s="861"/>
      <c r="D212" s="864"/>
      <c r="K212" s="870"/>
    </row>
    <row r="213" spans="1:14" x14ac:dyDescent="0.3">
      <c r="A213" s="871"/>
      <c r="B213" s="861"/>
      <c r="D213" s="864"/>
      <c r="K213" s="870"/>
    </row>
    <row r="214" spans="1:14" x14ac:dyDescent="0.3">
      <c r="A214" s="871"/>
      <c r="B214" s="861"/>
      <c r="D214" s="864"/>
      <c r="K214" s="870"/>
    </row>
    <row r="215" spans="1:14" x14ac:dyDescent="0.3">
      <c r="A215" s="871"/>
      <c r="B215" s="861"/>
      <c r="D215" s="864"/>
      <c r="K215" s="870"/>
    </row>
    <row r="216" spans="1:14" x14ac:dyDescent="0.3">
      <c r="A216" s="871"/>
      <c r="B216" s="861"/>
      <c r="D216" s="864"/>
      <c r="K216" s="870"/>
    </row>
    <row r="217" spans="1:14" x14ac:dyDescent="0.3">
      <c r="A217" s="871"/>
      <c r="B217" s="861"/>
      <c r="D217" s="864"/>
      <c r="K217" s="870"/>
    </row>
    <row r="218" spans="1:14" x14ac:dyDescent="0.3">
      <c r="A218" s="871"/>
      <c r="B218" s="861"/>
      <c r="D218" s="864"/>
      <c r="K218" s="870"/>
    </row>
    <row r="219" spans="1:14" x14ac:dyDescent="0.3">
      <c r="A219" s="872"/>
      <c r="B219" s="861"/>
      <c r="D219" s="864"/>
      <c r="K219" s="870"/>
      <c r="N219" s="873"/>
    </row>
    <row r="220" spans="1:14" x14ac:dyDescent="0.3">
      <c r="A220" s="872"/>
      <c r="B220" s="861"/>
      <c r="D220" s="864"/>
      <c r="K220" s="870"/>
      <c r="N220" s="873"/>
    </row>
    <row r="221" spans="1:14" x14ac:dyDescent="0.3">
      <c r="A221" s="872"/>
      <c r="B221" s="861"/>
      <c r="D221" s="864"/>
      <c r="K221" s="870"/>
      <c r="N221" s="873"/>
    </row>
    <row r="222" spans="1:14" x14ac:dyDescent="0.3">
      <c r="A222" s="872"/>
      <c r="B222" s="861"/>
      <c r="D222" s="864"/>
      <c r="K222" s="870"/>
      <c r="N222" s="873"/>
    </row>
    <row r="223" spans="1:14" x14ac:dyDescent="0.3">
      <c r="A223" s="872"/>
      <c r="B223" s="861"/>
      <c r="D223" s="864"/>
      <c r="K223" s="870"/>
      <c r="N223" s="873"/>
    </row>
    <row r="224" spans="1:14" x14ac:dyDescent="0.3">
      <c r="A224" s="872"/>
      <c r="B224" s="861"/>
      <c r="D224" s="864"/>
      <c r="K224" s="870"/>
      <c r="N224" s="873"/>
    </row>
    <row r="225" spans="1:14" x14ac:dyDescent="0.3">
      <c r="A225" s="872"/>
      <c r="B225" s="861"/>
      <c r="D225" s="864"/>
      <c r="K225" s="870"/>
      <c r="N225" s="873"/>
    </row>
    <row r="226" spans="1:14" x14ac:dyDescent="0.3">
      <c r="A226" s="884"/>
      <c r="D226" s="864"/>
      <c r="K226" s="870"/>
      <c r="N226" s="873"/>
    </row>
    <row r="227" spans="1:14" x14ac:dyDescent="0.3">
      <c r="A227" s="867" t="s">
        <v>564</v>
      </c>
      <c r="B227" s="861"/>
      <c r="D227" s="864"/>
      <c r="K227" s="870"/>
      <c r="N227" s="873"/>
    </row>
    <row r="228" spans="1:14" x14ac:dyDescent="0.3">
      <c r="A228" s="868" t="s">
        <v>565</v>
      </c>
      <c r="B228" s="861"/>
      <c r="D228" s="864"/>
      <c r="K228" s="870"/>
      <c r="N228" s="873"/>
    </row>
    <row r="229" spans="1:14" x14ac:dyDescent="0.3">
      <c r="A229" s="868" t="s">
        <v>566</v>
      </c>
      <c r="B229" s="861"/>
      <c r="D229" s="864"/>
      <c r="K229" s="870"/>
      <c r="N229" s="873"/>
    </row>
    <row r="230" spans="1:14" x14ac:dyDescent="0.3">
      <c r="A230" s="868" t="s">
        <v>567</v>
      </c>
      <c r="B230" s="861"/>
      <c r="D230" s="864"/>
      <c r="K230" s="870"/>
      <c r="N230" s="873"/>
    </row>
    <row r="231" spans="1:14" x14ac:dyDescent="0.3">
      <c r="A231" s="868" t="s">
        <v>568</v>
      </c>
      <c r="B231" s="861"/>
      <c r="D231" s="864"/>
      <c r="K231" s="870"/>
      <c r="N231" s="873"/>
    </row>
    <row r="232" spans="1:14" x14ac:dyDescent="0.3">
      <c r="A232" s="868" t="s">
        <v>569</v>
      </c>
      <c r="B232" s="861"/>
      <c r="D232" s="864"/>
      <c r="K232" s="870"/>
      <c r="N232" s="873"/>
    </row>
    <row r="233" spans="1:14" x14ac:dyDescent="0.3">
      <c r="A233" s="868" t="s">
        <v>570</v>
      </c>
      <c r="B233" s="861"/>
      <c r="D233" s="864"/>
      <c r="K233" s="870"/>
      <c r="N233" s="873"/>
    </row>
    <row r="234" spans="1:14" x14ac:dyDescent="0.3">
      <c r="A234" s="868" t="s">
        <v>571</v>
      </c>
      <c r="B234" s="861"/>
      <c r="D234" s="864"/>
      <c r="K234" s="870"/>
      <c r="N234" s="873"/>
    </row>
    <row r="235" spans="1:14" x14ac:dyDescent="0.3">
      <c r="A235" s="868" t="s">
        <v>572</v>
      </c>
      <c r="B235" s="861"/>
      <c r="D235" s="864"/>
      <c r="K235" s="870"/>
      <c r="N235" s="873"/>
    </row>
    <row r="236" spans="1:14" x14ac:dyDescent="0.3">
      <c r="A236" s="868" t="s">
        <v>573</v>
      </c>
      <c r="B236" s="861"/>
      <c r="D236" s="864"/>
      <c r="K236" s="870"/>
      <c r="N236" s="873"/>
    </row>
    <row r="237" spans="1:14" x14ac:dyDescent="0.3">
      <c r="A237" s="884" t="s">
        <v>656</v>
      </c>
      <c r="D237" s="864"/>
      <c r="K237" s="870"/>
    </row>
    <row r="238" spans="1:14" x14ac:dyDescent="0.3">
      <c r="A238" s="867" t="s">
        <v>574</v>
      </c>
      <c r="B238" s="861"/>
      <c r="D238" s="864"/>
    </row>
    <row r="239" spans="1:14" x14ac:dyDescent="0.3">
      <c r="A239" s="868" t="s">
        <v>575</v>
      </c>
      <c r="B239" s="861"/>
      <c r="C239" s="4"/>
      <c r="D239" s="874"/>
      <c r="E239" s="4"/>
      <c r="F239" s="4"/>
    </row>
    <row r="240" spans="1:14" x14ac:dyDescent="0.3">
      <c r="A240" s="875" t="s">
        <v>576</v>
      </c>
      <c r="B240" s="861"/>
      <c r="C240" s="4"/>
      <c r="D240" s="874"/>
      <c r="E240" s="4"/>
      <c r="F240" s="4"/>
    </row>
    <row r="241" spans="1:6" x14ac:dyDescent="0.3">
      <c r="A241" s="868" t="s">
        <v>577</v>
      </c>
      <c r="B241" s="861"/>
      <c r="C241" s="4"/>
      <c r="D241" s="874"/>
      <c r="E241" s="4"/>
      <c r="F241" s="4"/>
    </row>
    <row r="242" spans="1:6" x14ac:dyDescent="0.3">
      <c r="A242" s="868" t="s">
        <v>578</v>
      </c>
      <c r="B242" s="861"/>
      <c r="C242" s="4"/>
      <c r="D242" s="874"/>
      <c r="E242" s="4"/>
      <c r="F242" s="4"/>
    </row>
    <row r="243" spans="1:6" x14ac:dyDescent="0.3">
      <c r="A243" s="868" t="s">
        <v>579</v>
      </c>
      <c r="B243" s="861"/>
      <c r="C243" s="4"/>
      <c r="D243" s="874"/>
      <c r="E243" s="4"/>
      <c r="F243" s="4"/>
    </row>
    <row r="244" spans="1:6" x14ac:dyDescent="0.3">
      <c r="A244" s="868" t="s">
        <v>580</v>
      </c>
      <c r="B244" s="861"/>
      <c r="C244" s="4"/>
      <c r="D244" s="874"/>
      <c r="E244" s="4"/>
      <c r="F244" s="4"/>
    </row>
    <row r="245" spans="1:6" x14ac:dyDescent="0.3">
      <c r="A245" s="875" t="s">
        <v>581</v>
      </c>
      <c r="B245" s="861"/>
      <c r="C245" s="4"/>
      <c r="D245" s="874"/>
      <c r="E245" s="4"/>
      <c r="F245" s="4"/>
    </row>
    <row r="246" spans="1:6" x14ac:dyDescent="0.3">
      <c r="A246" s="868" t="s">
        <v>582</v>
      </c>
    </row>
    <row r="247" spans="1:6" x14ac:dyDescent="0.3">
      <c r="A247" s="868" t="s">
        <v>583</v>
      </c>
      <c r="B247" s="861"/>
      <c r="C247" s="4"/>
      <c r="D247" s="874"/>
      <c r="E247" s="4"/>
      <c r="F247" s="4"/>
    </row>
    <row r="248" spans="1:6" x14ac:dyDescent="0.3">
      <c r="A248" s="868" t="s">
        <v>584</v>
      </c>
      <c r="B248" s="861"/>
      <c r="C248" s="4"/>
      <c r="D248" s="874"/>
      <c r="E248" s="4"/>
      <c r="F248" s="4"/>
    </row>
    <row r="249" spans="1:6" x14ac:dyDescent="0.3">
      <c r="A249" s="868" t="s">
        <v>585</v>
      </c>
      <c r="B249" s="861"/>
      <c r="C249" s="4"/>
      <c r="D249" s="874"/>
      <c r="E249" s="4"/>
      <c r="F249" s="4"/>
    </row>
    <row r="250" spans="1:6" x14ac:dyDescent="0.3">
      <c r="A250" s="868" t="s">
        <v>586</v>
      </c>
      <c r="B250" s="861"/>
      <c r="C250" s="4"/>
      <c r="D250" s="874"/>
      <c r="E250" s="4"/>
      <c r="F250" s="4"/>
    </row>
    <row r="251" spans="1:6" x14ac:dyDescent="0.3">
      <c r="A251" s="868" t="s">
        <v>587</v>
      </c>
      <c r="B251" s="861"/>
      <c r="C251" s="4"/>
      <c r="D251" s="874"/>
      <c r="E251" s="4"/>
      <c r="F251" s="4"/>
    </row>
    <row r="252" spans="1:6" x14ac:dyDescent="0.3">
      <c r="A252" s="875" t="s">
        <v>588</v>
      </c>
      <c r="B252" s="861"/>
      <c r="C252" s="4"/>
      <c r="D252" s="874"/>
      <c r="E252" s="4"/>
      <c r="F252" s="4"/>
    </row>
    <row r="253" spans="1:6" x14ac:dyDescent="0.3">
      <c r="A253" s="868" t="s">
        <v>589</v>
      </c>
      <c r="B253" s="861"/>
      <c r="C253" s="4"/>
      <c r="D253" s="874"/>
      <c r="E253" s="4"/>
      <c r="F253" s="4"/>
    </row>
    <row r="254" spans="1:6" x14ac:dyDescent="0.3">
      <c r="A254" s="868" t="s">
        <v>590</v>
      </c>
      <c r="B254" s="861"/>
      <c r="C254" s="4"/>
      <c r="D254" s="874"/>
      <c r="E254" s="4"/>
      <c r="F254" s="4"/>
    </row>
    <row r="255" spans="1:6" x14ac:dyDescent="0.3">
      <c r="A255" s="868" t="s">
        <v>591</v>
      </c>
      <c r="B255" s="861"/>
      <c r="C255" s="4"/>
      <c r="D255" s="874"/>
      <c r="E255" s="4"/>
      <c r="F255" s="4"/>
    </row>
    <row r="256" spans="1:6" x14ac:dyDescent="0.3">
      <c r="A256" s="884" t="s">
        <v>656</v>
      </c>
      <c r="D256" s="864"/>
    </row>
    <row r="257" spans="1:4" x14ac:dyDescent="0.3">
      <c r="A257" s="861" t="s">
        <v>592</v>
      </c>
      <c r="B257" s="861"/>
      <c r="D257" s="864"/>
    </row>
    <row r="258" spans="1:4" x14ac:dyDescent="0.3">
      <c r="A258" s="876" t="s">
        <v>593</v>
      </c>
      <c r="B258" s="861"/>
      <c r="D258" s="864"/>
    </row>
    <row r="259" spans="1:4" x14ac:dyDescent="0.3">
      <c r="A259" s="876" t="s">
        <v>594</v>
      </c>
      <c r="B259" s="861"/>
      <c r="D259" s="864"/>
    </row>
    <row r="260" spans="1:4" x14ac:dyDescent="0.3">
      <c r="A260" s="876" t="s">
        <v>595</v>
      </c>
      <c r="B260" s="861"/>
      <c r="D260" s="864"/>
    </row>
    <row r="261" spans="1:4" x14ac:dyDescent="0.3">
      <c r="A261" s="884" t="s">
        <v>656</v>
      </c>
      <c r="D261" s="864"/>
    </row>
    <row r="262" spans="1:4" x14ac:dyDescent="0.3">
      <c r="A262" s="861" t="s">
        <v>596</v>
      </c>
      <c r="B262" s="861"/>
      <c r="D262" s="864"/>
    </row>
    <row r="263" spans="1:4" x14ac:dyDescent="0.3">
      <c r="A263" s="877" t="s">
        <v>597</v>
      </c>
      <c r="B263" s="861"/>
      <c r="C263" s="4"/>
      <c r="D263" s="864"/>
    </row>
    <row r="264" spans="1:4" x14ac:dyDescent="0.3">
      <c r="A264" s="877" t="s">
        <v>598</v>
      </c>
      <c r="B264" s="861"/>
      <c r="C264" s="4"/>
      <c r="D264" s="864"/>
    </row>
    <row r="265" spans="1:4" x14ac:dyDescent="0.3">
      <c r="B265" s="878" t="s">
        <v>599</v>
      </c>
      <c r="C265" s="4"/>
      <c r="D265" s="864"/>
    </row>
    <row r="266" spans="1:4" x14ac:dyDescent="0.3">
      <c r="B266" s="878" t="s">
        <v>600</v>
      </c>
      <c r="C266" s="4"/>
      <c r="D266" s="864"/>
    </row>
    <row r="267" spans="1:4" x14ac:dyDescent="0.3">
      <c r="B267" s="878" t="s">
        <v>601</v>
      </c>
      <c r="C267" s="4"/>
      <c r="D267" s="864"/>
    </row>
    <row r="268" spans="1:4" x14ac:dyDescent="0.3">
      <c r="A268" s="877" t="s">
        <v>602</v>
      </c>
      <c r="B268" s="861"/>
      <c r="C268" s="4"/>
      <c r="D268" s="864"/>
    </row>
    <row r="269" spans="1:4" x14ac:dyDescent="0.3">
      <c r="B269" s="878" t="s">
        <v>603</v>
      </c>
      <c r="C269" s="4"/>
      <c r="D269" s="864"/>
    </row>
    <row r="270" spans="1:4" x14ac:dyDescent="0.3">
      <c r="B270" s="878" t="s">
        <v>604</v>
      </c>
      <c r="C270" s="4"/>
      <c r="D270" s="864"/>
    </row>
    <row r="271" spans="1:4" x14ac:dyDescent="0.3">
      <c r="B271" s="878" t="s">
        <v>605</v>
      </c>
      <c r="C271" s="4"/>
      <c r="D271" s="864"/>
    </row>
    <row r="272" spans="1:4" x14ac:dyDescent="0.3">
      <c r="A272" s="877" t="s">
        <v>606</v>
      </c>
      <c r="B272" s="861"/>
      <c r="C272" s="4"/>
      <c r="D272" s="864"/>
    </row>
    <row r="273" spans="1:4" x14ac:dyDescent="0.3">
      <c r="B273" s="878" t="s">
        <v>607</v>
      </c>
      <c r="C273" s="4"/>
      <c r="D273" s="864"/>
    </row>
    <row r="274" spans="1:4" x14ac:dyDescent="0.3">
      <c r="B274" s="878" t="s">
        <v>608</v>
      </c>
      <c r="C274" s="4"/>
      <c r="D274" s="864"/>
    </row>
    <row r="275" spans="1:4" x14ac:dyDescent="0.3">
      <c r="B275" s="878" t="s">
        <v>609</v>
      </c>
      <c r="C275" s="4"/>
      <c r="D275" s="864"/>
    </row>
    <row r="276" spans="1:4" x14ac:dyDescent="0.3">
      <c r="B276" s="878" t="s">
        <v>610</v>
      </c>
      <c r="C276" s="4"/>
      <c r="D276" s="864"/>
    </row>
    <row r="277" spans="1:4" x14ac:dyDescent="0.3">
      <c r="B277" s="878" t="s">
        <v>611</v>
      </c>
      <c r="C277" s="4"/>
      <c r="D277" s="864"/>
    </row>
    <row r="278" spans="1:4" x14ac:dyDescent="0.3">
      <c r="A278" s="884" t="s">
        <v>656</v>
      </c>
      <c r="D278" s="864"/>
    </row>
    <row r="279" spans="1:4" s="4" customFormat="1" x14ac:dyDescent="0.3">
      <c r="A279" s="861" t="s">
        <v>612</v>
      </c>
      <c r="B279" s="861"/>
      <c r="D279" s="874"/>
    </row>
    <row r="280" spans="1:4" s="4" customFormat="1" x14ac:dyDescent="0.3">
      <c r="A280" s="4" t="s">
        <v>613</v>
      </c>
      <c r="B280" s="861"/>
      <c r="D280" s="874"/>
    </row>
    <row r="281" spans="1:4" s="4" customFormat="1" x14ac:dyDescent="0.3">
      <c r="A281" s="4" t="s">
        <v>614</v>
      </c>
      <c r="D281" s="874"/>
    </row>
    <row r="282" spans="1:4" s="4" customFormat="1" x14ac:dyDescent="0.3">
      <c r="A282" s="4" t="s">
        <v>615</v>
      </c>
    </row>
    <row r="283" spans="1:4" s="4" customFormat="1" x14ac:dyDescent="0.3">
      <c r="A283" s="879" t="s">
        <v>616</v>
      </c>
    </row>
    <row r="284" spans="1:4" s="4" customFormat="1" x14ac:dyDescent="0.3">
      <c r="A284" s="4" t="s">
        <v>617</v>
      </c>
    </row>
    <row r="285" spans="1:4" s="4" customFormat="1" x14ac:dyDescent="0.3">
      <c r="A285" s="879" t="s">
        <v>618</v>
      </c>
    </row>
    <row r="286" spans="1:4" s="4" customFormat="1" x14ac:dyDescent="0.3">
      <c r="A286" s="4" t="s">
        <v>619</v>
      </c>
    </row>
    <row r="287" spans="1:4" s="4" customFormat="1" x14ac:dyDescent="0.3">
      <c r="A287" s="4" t="s">
        <v>620</v>
      </c>
    </row>
    <row r="288" spans="1:4" s="4" customFormat="1" x14ac:dyDescent="0.3">
      <c r="A288" s="4" t="s">
        <v>621</v>
      </c>
    </row>
    <row r="289" spans="1:4" s="4" customFormat="1" x14ac:dyDescent="0.3">
      <c r="A289" s="4" t="s">
        <v>622</v>
      </c>
    </row>
    <row r="290" spans="1:4" s="4" customFormat="1" x14ac:dyDescent="0.3">
      <c r="A290" s="4" t="s">
        <v>623</v>
      </c>
    </row>
    <row r="291" spans="1:4" s="4" customFormat="1" x14ac:dyDescent="0.3">
      <c r="A291" s="4" t="s">
        <v>624</v>
      </c>
    </row>
    <row r="292" spans="1:4" s="4" customFormat="1" x14ac:dyDescent="0.3">
      <c r="A292" s="4" t="s">
        <v>625</v>
      </c>
    </row>
    <row r="293" spans="1:4" s="4" customFormat="1" x14ac:dyDescent="0.3">
      <c r="A293" s="4" t="s">
        <v>626</v>
      </c>
    </row>
    <row r="294" spans="1:4" s="4" customFormat="1" x14ac:dyDescent="0.3">
      <c r="A294" s="884" t="s">
        <v>656</v>
      </c>
      <c r="B294"/>
      <c r="D294" s="874"/>
    </row>
    <row r="295" spans="1:4" s="4" customFormat="1" x14ac:dyDescent="0.3">
      <c r="D295" s="874"/>
    </row>
    <row r="296" spans="1:4" s="4" customFormat="1" x14ac:dyDescent="0.3">
      <c r="A296" s="861" t="s">
        <v>627</v>
      </c>
      <c r="D296" s="874"/>
    </row>
    <row r="297" spans="1:4" s="4" customFormat="1" x14ac:dyDescent="0.3">
      <c r="A297" s="861" t="s">
        <v>628</v>
      </c>
      <c r="D297" s="874"/>
    </row>
    <row r="298" spans="1:4" s="4" customFormat="1" x14ac:dyDescent="0.3">
      <c r="A298" s="4" t="s">
        <v>629</v>
      </c>
      <c r="D298" s="874"/>
    </row>
    <row r="299" spans="1:4" s="4" customFormat="1" x14ac:dyDescent="0.3">
      <c r="D299" s="874"/>
    </row>
    <row r="300" spans="1:4" s="4" customFormat="1" x14ac:dyDescent="0.3">
      <c r="A300" s="861" t="s">
        <v>630</v>
      </c>
      <c r="D300" s="874"/>
    </row>
    <row r="301" spans="1:4" s="4" customFormat="1" x14ac:dyDescent="0.3">
      <c r="A301" s="4" t="s">
        <v>631</v>
      </c>
      <c r="D301" s="874"/>
    </row>
    <row r="302" spans="1:4" s="4" customFormat="1" x14ac:dyDescent="0.3">
      <c r="A302" s="4" t="s">
        <v>629</v>
      </c>
      <c r="D302" s="874"/>
    </row>
    <row r="303" spans="1:4" s="4" customFormat="1" x14ac:dyDescent="0.3">
      <c r="A303" s="4" t="s">
        <v>632</v>
      </c>
      <c r="D303" s="874"/>
    </row>
    <row r="304" spans="1:4" s="4" customFormat="1" x14ac:dyDescent="0.3">
      <c r="D304" s="874"/>
    </row>
    <row r="305" spans="1:6" s="4" customFormat="1" x14ac:dyDescent="0.3">
      <c r="A305" s="861" t="s">
        <v>633</v>
      </c>
      <c r="D305" s="874"/>
    </row>
    <row r="306" spans="1:6" s="4" customFormat="1" x14ac:dyDescent="0.3">
      <c r="A306" s="4" t="s">
        <v>634</v>
      </c>
      <c r="D306" s="874"/>
    </row>
    <row r="307" spans="1:6" s="4" customFormat="1" x14ac:dyDescent="0.3">
      <c r="D307" s="874"/>
    </row>
    <row r="308" spans="1:6" s="4" customFormat="1" x14ac:dyDescent="0.3">
      <c r="A308" s="861" t="s">
        <v>635</v>
      </c>
      <c r="D308" s="874"/>
    </row>
    <row r="309" spans="1:6" s="4" customFormat="1" x14ac:dyDescent="0.3">
      <c r="A309" s="4" t="s">
        <v>478</v>
      </c>
      <c r="D309" s="874"/>
    </row>
    <row r="310" spans="1:6" s="4" customFormat="1" x14ac:dyDescent="0.3">
      <c r="A310" s="884" t="s">
        <v>656</v>
      </c>
      <c r="B310"/>
      <c r="D310" s="874"/>
    </row>
    <row r="311" spans="1:6" s="4" customFormat="1" x14ac:dyDescent="0.3">
      <c r="D311" s="874"/>
    </row>
    <row r="312" spans="1:6" s="880" customFormat="1" x14ac:dyDescent="0.3"/>
    <row r="313" spans="1:6" s="861" customFormat="1" x14ac:dyDescent="0.3">
      <c r="A313" s="861" t="s">
        <v>636</v>
      </c>
      <c r="D313" s="890"/>
    </row>
    <row r="314" spans="1:6" s="4" customFormat="1" x14ac:dyDescent="0.3">
      <c r="A314" s="886" t="s">
        <v>637</v>
      </c>
      <c r="B314" s="886"/>
      <c r="C314" s="886"/>
      <c r="D314" s="887"/>
      <c r="E314" s="886"/>
      <c r="F314" s="886"/>
    </row>
    <row r="315" spans="1:6" s="4" customFormat="1" x14ac:dyDescent="0.3">
      <c r="A315" s="886" t="s">
        <v>638</v>
      </c>
      <c r="B315" s="886"/>
      <c r="C315" s="886"/>
      <c r="D315" s="887"/>
      <c r="E315" s="886"/>
      <c r="F315" s="886"/>
    </row>
    <row r="316" spans="1:6" s="4" customFormat="1" x14ac:dyDescent="0.3">
      <c r="A316" s="886" t="s">
        <v>639</v>
      </c>
      <c r="B316" s="886"/>
      <c r="C316" s="886"/>
      <c r="D316" s="887"/>
      <c r="E316" s="886"/>
      <c r="F316" s="886"/>
    </row>
    <row r="317" spans="1:6" s="4" customFormat="1" x14ac:dyDescent="0.3">
      <c r="A317" s="884" t="s">
        <v>656</v>
      </c>
      <c r="B317"/>
      <c r="D317" s="874"/>
    </row>
    <row r="318" spans="1:6" s="880" customFormat="1" x14ac:dyDescent="0.3"/>
    <row r="319" spans="1:6" s="4" customFormat="1" x14ac:dyDescent="0.3">
      <c r="A319" s="4" t="s">
        <v>640</v>
      </c>
    </row>
    <row r="320" spans="1:6" s="4" customFormat="1" x14ac:dyDescent="0.3">
      <c r="B320" s="4" t="s">
        <v>419</v>
      </c>
    </row>
    <row r="321" spans="9:9" s="4" customFormat="1" x14ac:dyDescent="0.3"/>
    <row r="322" spans="9:9" s="4" customFormat="1" x14ac:dyDescent="0.3">
      <c r="I322" s="881" t="s">
        <v>421</v>
      </c>
    </row>
    <row r="323" spans="9:9" s="4" customFormat="1" x14ac:dyDescent="0.3">
      <c r="I323" s="881"/>
    </row>
    <row r="324" spans="9:9" s="4" customFormat="1" x14ac:dyDescent="0.3">
      <c r="I324" s="881" t="s">
        <v>418</v>
      </c>
    </row>
    <row r="325" spans="9:9" s="4" customFormat="1" x14ac:dyDescent="0.3">
      <c r="I325" s="881"/>
    </row>
    <row r="326" spans="9:9" s="4" customFormat="1" x14ac:dyDescent="0.3">
      <c r="I326" s="881" t="s">
        <v>417</v>
      </c>
    </row>
    <row r="327" spans="9:9" s="4" customFormat="1" x14ac:dyDescent="0.3"/>
    <row r="328" spans="9:9" s="4" customFormat="1" x14ac:dyDescent="0.3"/>
    <row r="329" spans="9:9" s="4" customFormat="1" x14ac:dyDescent="0.3"/>
    <row r="330" spans="9:9" s="4" customFormat="1" x14ac:dyDescent="0.3"/>
    <row r="331" spans="9:9" s="4" customFormat="1" x14ac:dyDescent="0.3"/>
    <row r="332" spans="9:9" s="4" customFormat="1" x14ac:dyDescent="0.3"/>
    <row r="333" spans="9:9" s="4" customFormat="1" x14ac:dyDescent="0.3"/>
    <row r="334" spans="9:9" s="4" customFormat="1" x14ac:dyDescent="0.3"/>
    <row r="335" spans="9:9" s="4" customFormat="1" x14ac:dyDescent="0.3"/>
    <row r="336" spans="9:9" s="4" customFormat="1" x14ac:dyDescent="0.3"/>
    <row r="337" spans="2:2" s="4" customFormat="1" x14ac:dyDescent="0.3"/>
    <row r="338" spans="2:2" s="4" customFormat="1" x14ac:dyDescent="0.3"/>
    <row r="339" spans="2:2" s="4" customFormat="1" x14ac:dyDescent="0.3"/>
    <row r="340" spans="2:2" s="4" customFormat="1" x14ac:dyDescent="0.3"/>
    <row r="341" spans="2:2" s="4" customFormat="1" x14ac:dyDescent="0.3"/>
    <row r="342" spans="2:2" s="4" customFormat="1" x14ac:dyDescent="0.3"/>
    <row r="343" spans="2:2" s="4" customFormat="1" x14ac:dyDescent="0.3"/>
    <row r="344" spans="2:2" s="4" customFormat="1" x14ac:dyDescent="0.3"/>
    <row r="345" spans="2:2" s="4" customFormat="1" x14ac:dyDescent="0.3"/>
    <row r="346" spans="2:2" s="4" customFormat="1" x14ac:dyDescent="0.3"/>
    <row r="347" spans="2:2" s="4" customFormat="1" x14ac:dyDescent="0.3">
      <c r="B347" s="4" t="s">
        <v>419</v>
      </c>
    </row>
    <row r="348" spans="2:2" s="4" customFormat="1" x14ac:dyDescent="0.3">
      <c r="B348" s="4" t="s">
        <v>425</v>
      </c>
    </row>
    <row r="349" spans="2:2" s="4" customFormat="1" x14ac:dyDescent="0.3">
      <c r="B349" s="4" t="s">
        <v>428</v>
      </c>
    </row>
    <row r="350" spans="2:2" s="4" customFormat="1" x14ac:dyDescent="0.3"/>
    <row r="351" spans="2:2" s="4" customFormat="1" x14ac:dyDescent="0.3"/>
    <row r="352" spans="2:2" s="4" customFormat="1" x14ac:dyDescent="0.3"/>
    <row r="353" s="4" customFormat="1" x14ac:dyDescent="0.3"/>
    <row r="354" s="4" customFormat="1" x14ac:dyDescent="0.3"/>
    <row r="355" s="4" customFormat="1" x14ac:dyDescent="0.3"/>
    <row r="356" s="4" customFormat="1" x14ac:dyDescent="0.3"/>
    <row r="357" s="4" customFormat="1" x14ac:dyDescent="0.3"/>
    <row r="358" s="4" customFormat="1" x14ac:dyDescent="0.3"/>
    <row r="359" s="4" customFormat="1" x14ac:dyDescent="0.3"/>
    <row r="360" s="4" customFormat="1" x14ac:dyDescent="0.3"/>
    <row r="361" s="4" customFormat="1" x14ac:dyDescent="0.3"/>
    <row r="362" s="4" customFormat="1" x14ac:dyDescent="0.3"/>
    <row r="363" s="4" customFormat="1" x14ac:dyDescent="0.3"/>
    <row r="364" s="4" customFormat="1" x14ac:dyDescent="0.3"/>
    <row r="365" s="4" customFormat="1" x14ac:dyDescent="0.3"/>
    <row r="366" s="4" customFormat="1" x14ac:dyDescent="0.3"/>
    <row r="367" s="4" customFormat="1" x14ac:dyDescent="0.3"/>
    <row r="368" s="4" customFormat="1" x14ac:dyDescent="0.3"/>
    <row r="369" spans="2:2" s="4" customFormat="1" x14ac:dyDescent="0.3"/>
    <row r="370" spans="2:2" s="4" customFormat="1" x14ac:dyDescent="0.3"/>
    <row r="371" spans="2:2" s="4" customFormat="1" x14ac:dyDescent="0.3"/>
    <row r="372" spans="2:2" s="4" customFormat="1" x14ac:dyDescent="0.3"/>
    <row r="373" spans="2:2" s="4" customFormat="1" x14ac:dyDescent="0.3">
      <c r="B373" s="4" t="s">
        <v>419</v>
      </c>
    </row>
    <row r="374" spans="2:2" s="4" customFormat="1" x14ac:dyDescent="0.3">
      <c r="B374" s="4" t="s">
        <v>426</v>
      </c>
    </row>
    <row r="375" spans="2:2" s="4" customFormat="1" x14ac:dyDescent="0.3">
      <c r="B375" s="4" t="s">
        <v>427</v>
      </c>
    </row>
    <row r="376" spans="2:2" s="4" customFormat="1" x14ac:dyDescent="0.3"/>
    <row r="377" spans="2:2" s="4" customFormat="1" x14ac:dyDescent="0.3"/>
    <row r="378" spans="2:2" s="4" customFormat="1" x14ac:dyDescent="0.3"/>
    <row r="379" spans="2:2" s="4" customFormat="1" x14ac:dyDescent="0.3"/>
    <row r="380" spans="2:2" s="4" customFormat="1" x14ac:dyDescent="0.3"/>
    <row r="381" spans="2:2" s="4" customFormat="1" x14ac:dyDescent="0.3"/>
    <row r="382" spans="2:2" s="4" customFormat="1" x14ac:dyDescent="0.3"/>
    <row r="383" spans="2:2" s="4" customFormat="1" x14ac:dyDescent="0.3"/>
    <row r="384" spans="2:2" s="4" customFormat="1" x14ac:dyDescent="0.3"/>
    <row r="385" spans="2:2" s="4" customFormat="1" x14ac:dyDescent="0.3"/>
    <row r="386" spans="2:2" s="4" customFormat="1" x14ac:dyDescent="0.3"/>
    <row r="387" spans="2:2" s="4" customFormat="1" x14ac:dyDescent="0.3"/>
    <row r="388" spans="2:2" s="4" customFormat="1" x14ac:dyDescent="0.3"/>
    <row r="389" spans="2:2" s="4" customFormat="1" x14ac:dyDescent="0.3"/>
    <row r="390" spans="2:2" s="4" customFormat="1" x14ac:dyDescent="0.3"/>
    <row r="391" spans="2:2" s="4" customFormat="1" x14ac:dyDescent="0.3"/>
    <row r="392" spans="2:2" s="4" customFormat="1" x14ac:dyDescent="0.3">
      <c r="B392" s="4" t="s">
        <v>420</v>
      </c>
    </row>
    <row r="393" spans="2:2" s="4" customFormat="1" x14ac:dyDescent="0.3">
      <c r="B393" s="4" t="s">
        <v>431</v>
      </c>
    </row>
    <row r="394" spans="2:2" s="4" customFormat="1" x14ac:dyDescent="0.3">
      <c r="B394" s="4" t="s">
        <v>429</v>
      </c>
    </row>
    <row r="395" spans="2:2" s="4" customFormat="1" x14ac:dyDescent="0.3">
      <c r="B395" s="4" t="s">
        <v>430</v>
      </c>
    </row>
    <row r="396" spans="2:2" s="4" customFormat="1" x14ac:dyDescent="0.3"/>
    <row r="397" spans="2:2" s="4" customFormat="1" x14ac:dyDescent="0.3"/>
    <row r="398" spans="2:2" s="4" customFormat="1" x14ac:dyDescent="0.3"/>
    <row r="399" spans="2:2" s="4" customFormat="1" x14ac:dyDescent="0.3"/>
    <row r="400" spans="2:2" s="4" customFormat="1" x14ac:dyDescent="0.3"/>
    <row r="401" s="4" customFormat="1" x14ac:dyDescent="0.3"/>
    <row r="402" s="4" customFormat="1" x14ac:dyDescent="0.3"/>
    <row r="403" s="4" customFormat="1" x14ac:dyDescent="0.3"/>
    <row r="404" s="4" customFormat="1" x14ac:dyDescent="0.3"/>
    <row r="405" s="4" customFormat="1" x14ac:dyDescent="0.3"/>
    <row r="406" s="4" customFormat="1" x14ac:dyDescent="0.3"/>
    <row r="407" s="4" customFormat="1" x14ac:dyDescent="0.3"/>
    <row r="408" s="4" customFormat="1" x14ac:dyDescent="0.3"/>
    <row r="409" s="4" customFormat="1" x14ac:dyDescent="0.3"/>
    <row r="410" s="4" customFormat="1" x14ac:dyDescent="0.3"/>
    <row r="411" s="4" customFormat="1" x14ac:dyDescent="0.3"/>
    <row r="412" s="4" customFormat="1" x14ac:dyDescent="0.3"/>
    <row r="413" s="4" customFormat="1" x14ac:dyDescent="0.3"/>
    <row r="414" s="4" customFormat="1" x14ac:dyDescent="0.3"/>
    <row r="415" s="4" customFormat="1" x14ac:dyDescent="0.3"/>
    <row r="416" s="4" customFormat="1" x14ac:dyDescent="0.3"/>
    <row r="417" spans="2:2" s="4" customFormat="1" x14ac:dyDescent="0.3"/>
    <row r="418" spans="2:2" s="4" customFormat="1" x14ac:dyDescent="0.3"/>
    <row r="419" spans="2:2" s="4" customFormat="1" x14ac:dyDescent="0.3"/>
    <row r="420" spans="2:2" s="4" customFormat="1" x14ac:dyDescent="0.3">
      <c r="B420" s="4" t="s">
        <v>641</v>
      </c>
    </row>
    <row r="421" spans="2:2" s="4" customFormat="1" x14ac:dyDescent="0.3"/>
    <row r="422" spans="2:2" s="4" customFormat="1" x14ac:dyDescent="0.3"/>
    <row r="423" spans="2:2" s="4" customFormat="1" x14ac:dyDescent="0.3"/>
    <row r="424" spans="2:2" s="4" customFormat="1" x14ac:dyDescent="0.3"/>
    <row r="425" spans="2:2" s="4" customFormat="1" x14ac:dyDescent="0.3"/>
    <row r="426" spans="2:2" s="4" customFormat="1" x14ac:dyDescent="0.3"/>
    <row r="427" spans="2:2" s="4" customFormat="1" x14ac:dyDescent="0.3"/>
    <row r="428" spans="2:2" s="4" customFormat="1" x14ac:dyDescent="0.3"/>
    <row r="429" spans="2:2" s="4" customFormat="1" x14ac:dyDescent="0.3"/>
    <row r="430" spans="2:2" s="4" customFormat="1" x14ac:dyDescent="0.3"/>
    <row r="431" spans="2:2" s="4" customFormat="1" x14ac:dyDescent="0.3"/>
    <row r="432" spans="2:2" s="4" customFormat="1" x14ac:dyDescent="0.3"/>
    <row r="433" spans="2:2" s="4" customFormat="1" x14ac:dyDescent="0.3"/>
    <row r="434" spans="2:2" s="4" customFormat="1" x14ac:dyDescent="0.3"/>
    <row r="435" spans="2:2" s="4" customFormat="1" x14ac:dyDescent="0.3"/>
    <row r="436" spans="2:2" s="4" customFormat="1" x14ac:dyDescent="0.3"/>
    <row r="437" spans="2:2" s="4" customFormat="1" x14ac:dyDescent="0.3"/>
    <row r="438" spans="2:2" s="4" customFormat="1" x14ac:dyDescent="0.3">
      <c r="B438" s="881" t="s">
        <v>642</v>
      </c>
    </row>
    <row r="439" spans="2:2" s="4" customFormat="1" x14ac:dyDescent="0.3">
      <c r="B439" s="881" t="s">
        <v>422</v>
      </c>
    </row>
    <row r="440" spans="2:2" s="4" customFormat="1" x14ac:dyDescent="0.3">
      <c r="B440" s="882" t="s">
        <v>424</v>
      </c>
    </row>
    <row r="441" spans="2:2" s="4" customFormat="1" x14ac:dyDescent="0.3"/>
    <row r="442" spans="2:2" s="4" customFormat="1" x14ac:dyDescent="0.3"/>
    <row r="443" spans="2:2" s="4" customFormat="1" x14ac:dyDescent="0.3"/>
    <row r="444" spans="2:2" s="4" customFormat="1" x14ac:dyDescent="0.3"/>
    <row r="445" spans="2:2" s="4" customFormat="1" x14ac:dyDescent="0.3"/>
    <row r="446" spans="2:2" s="4" customFormat="1" x14ac:dyDescent="0.3"/>
    <row r="447" spans="2:2" s="4" customFormat="1" x14ac:dyDescent="0.3"/>
    <row r="448" spans="2:2" s="4" customFormat="1" x14ac:dyDescent="0.3"/>
    <row r="449" spans="1:19" s="4" customFormat="1" x14ac:dyDescent="0.3"/>
    <row r="450" spans="1:19" s="4" customFormat="1" x14ac:dyDescent="0.3"/>
    <row r="451" spans="1:19" s="4" customFormat="1" x14ac:dyDescent="0.3"/>
    <row r="452" spans="1:19" s="4" customFormat="1" x14ac:dyDescent="0.3"/>
    <row r="453" spans="1:19" s="4" customFormat="1" x14ac:dyDescent="0.3">
      <c r="B453" s="882"/>
    </row>
    <row r="454" spans="1:19" s="4" customFormat="1" x14ac:dyDescent="0.3"/>
    <row r="455" spans="1:19" s="4" customFormat="1" x14ac:dyDescent="0.3"/>
    <row r="456" spans="1:19" s="4" customFormat="1" x14ac:dyDescent="0.3"/>
    <row r="457" spans="1:19" s="4" customFormat="1" x14ac:dyDescent="0.3"/>
    <row r="458" spans="1:19" s="4" customFormat="1" x14ac:dyDescent="0.3"/>
    <row r="459" spans="1:19" s="4" customFormat="1" x14ac:dyDescent="0.3">
      <c r="A459" s="884" t="s">
        <v>656</v>
      </c>
      <c r="B459"/>
      <c r="D459" s="874"/>
    </row>
    <row r="460" spans="1:19" s="880" customFormat="1" x14ac:dyDescent="0.3"/>
    <row r="461" spans="1:19" s="4" customFormat="1" x14ac:dyDescent="0.3">
      <c r="A461" s="4" t="s">
        <v>643</v>
      </c>
    </row>
    <row r="462" spans="1:19" s="4" customFormat="1" x14ac:dyDescent="0.3"/>
    <row r="463" spans="1:19" s="4" customFormat="1" x14ac:dyDescent="0.3"/>
    <row r="464" spans="1:19" s="4" customFormat="1" x14ac:dyDescent="0.3">
      <c r="S464" s="4" t="s">
        <v>644</v>
      </c>
    </row>
    <row r="465" s="4" customFormat="1" x14ac:dyDescent="0.3"/>
    <row r="466" s="4" customFormat="1" x14ac:dyDescent="0.3"/>
    <row r="467" s="4" customFormat="1" x14ac:dyDescent="0.3"/>
    <row r="468" s="4" customFormat="1" x14ac:dyDescent="0.3"/>
    <row r="469" s="4" customFormat="1" x14ac:dyDescent="0.3"/>
    <row r="470" s="4" customFormat="1" x14ac:dyDescent="0.3"/>
    <row r="471" s="4" customFormat="1" x14ac:dyDescent="0.3"/>
    <row r="472" s="4" customFormat="1" x14ac:dyDescent="0.3"/>
    <row r="473" s="4" customFormat="1" x14ac:dyDescent="0.3"/>
    <row r="474" s="4" customFormat="1" x14ac:dyDescent="0.3"/>
    <row r="475" s="4" customFormat="1" x14ac:dyDescent="0.3"/>
    <row r="476" s="4" customFormat="1" x14ac:dyDescent="0.3"/>
    <row r="477" s="4" customFormat="1" x14ac:dyDescent="0.3"/>
    <row r="478" s="4" customFormat="1" x14ac:dyDescent="0.3"/>
    <row r="479" s="4" customFormat="1" x14ac:dyDescent="0.3"/>
    <row r="480" s="4" customFormat="1" x14ac:dyDescent="0.3"/>
    <row r="481" spans="1:4" s="4" customFormat="1" x14ac:dyDescent="0.3"/>
    <row r="482" spans="1:4" s="4" customFormat="1" x14ac:dyDescent="0.3"/>
    <row r="483" spans="1:4" s="4" customFormat="1" x14ac:dyDescent="0.3"/>
    <row r="484" spans="1:4" s="4" customFormat="1" x14ac:dyDescent="0.3"/>
    <row r="485" spans="1:4" s="4" customFormat="1" x14ac:dyDescent="0.3"/>
    <row r="486" spans="1:4" s="4" customFormat="1" x14ac:dyDescent="0.3"/>
    <row r="487" spans="1:4" s="4" customFormat="1" x14ac:dyDescent="0.3"/>
    <row r="488" spans="1:4" s="4" customFormat="1" x14ac:dyDescent="0.3"/>
    <row r="489" spans="1:4" s="4" customFormat="1" x14ac:dyDescent="0.3"/>
    <row r="490" spans="1:4" s="4" customFormat="1" x14ac:dyDescent="0.3"/>
    <row r="491" spans="1:4" s="4" customFormat="1" x14ac:dyDescent="0.3"/>
    <row r="492" spans="1:4" s="4" customFormat="1" x14ac:dyDescent="0.3">
      <c r="A492" s="884" t="s">
        <v>656</v>
      </c>
      <c r="B492"/>
      <c r="D492" s="874"/>
    </row>
    <row r="493" spans="1:4" s="4" customFormat="1" x14ac:dyDescent="0.3"/>
    <row r="494" spans="1:4" s="880" customFormat="1" x14ac:dyDescent="0.3"/>
    <row r="495" spans="1:4" s="4" customFormat="1" x14ac:dyDescent="0.3">
      <c r="A495" s="4" t="s">
        <v>645</v>
      </c>
      <c r="D495" s="874"/>
    </row>
    <row r="496" spans="1:4" s="4" customFormat="1" x14ac:dyDescent="0.3">
      <c r="D496" s="874"/>
    </row>
    <row r="497" spans="1:7" s="4" customFormat="1" x14ac:dyDescent="0.3">
      <c r="D497" s="4" t="s">
        <v>17</v>
      </c>
    </row>
    <row r="498" spans="1:7" s="4" customFormat="1" x14ac:dyDescent="0.3">
      <c r="G498" s="4" t="s">
        <v>17</v>
      </c>
    </row>
    <row r="499" spans="1:7" s="4" customFormat="1" x14ac:dyDescent="0.3">
      <c r="G499" s="883" t="s">
        <v>646</v>
      </c>
    </row>
    <row r="500" spans="1:7" s="4" customFormat="1" x14ac:dyDescent="0.3">
      <c r="G500" s="883" t="s">
        <v>647</v>
      </c>
    </row>
    <row r="501" spans="1:7" s="4" customFormat="1" x14ac:dyDescent="0.3">
      <c r="G501" s="883" t="s">
        <v>648</v>
      </c>
    </row>
    <row r="502" spans="1:7" s="4" customFormat="1" x14ac:dyDescent="0.3">
      <c r="G502" s="883" t="s">
        <v>649</v>
      </c>
    </row>
    <row r="503" spans="1:7" s="4" customFormat="1" x14ac:dyDescent="0.3">
      <c r="G503" s="883" t="s">
        <v>650</v>
      </c>
    </row>
    <row r="504" spans="1:7" s="4" customFormat="1" x14ac:dyDescent="0.3">
      <c r="G504" s="883" t="s">
        <v>651</v>
      </c>
    </row>
    <row r="505" spans="1:7" s="4" customFormat="1" x14ac:dyDescent="0.3">
      <c r="G505" s="883" t="s">
        <v>652</v>
      </c>
    </row>
    <row r="506" spans="1:7" s="4" customFormat="1" x14ac:dyDescent="0.3">
      <c r="G506" s="883" t="s">
        <v>653</v>
      </c>
    </row>
    <row r="507" spans="1:7" s="4" customFormat="1" x14ac:dyDescent="0.3">
      <c r="G507" s="883" t="s">
        <v>654</v>
      </c>
    </row>
    <row r="508" spans="1:7" s="4" customFormat="1" x14ac:dyDescent="0.3">
      <c r="G508" s="883" t="s">
        <v>655</v>
      </c>
    </row>
    <row r="509" spans="1:7" s="4" customFormat="1" x14ac:dyDescent="0.3">
      <c r="A509" s="884" t="s">
        <v>656</v>
      </c>
      <c r="B509"/>
      <c r="D509" s="874"/>
    </row>
    <row r="510" spans="1:7" s="161" customFormat="1" x14ac:dyDescent="0.3"/>
  </sheetData>
  <sheetProtection algorithmName="SHA-512" hashValue="fh4j7XxHrH7C2h+boVUvUsD3M0ZdOAElLox9nWTO5p+lFJdhKNAaBr2QxKuH2uTlvj5PI0+y5slRIYE/hOiqKw==" saltValue="7+Gprm8zUtnyXVSIJjJvfQ==" spinCount="100000" sheet="1" objects="1" scenarios="1"/>
  <hyperlinks>
    <hyperlink ref="F8:K8" location="'quick start'!A14" display="1. Introductie + helpdesk" xr:uid="{361682F0-8691-4FC9-BFF9-AA8E113E7C69}"/>
    <hyperlink ref="F9:K9" location="'snelle start'!A33" display="►Snelle-start / de knoppen" xr:uid="{50CCD457-12F9-4857-9080-C2D181A645E7}"/>
    <hyperlink ref="F10:J10" location="'snelle start'!A174" display="►10 meest gestelde vragen (FAQ)" xr:uid="{4F1AD3D4-7820-40FA-8EC6-C74931DC8826}"/>
    <hyperlink ref="A154:D154" location="'snelle start'!A182" display="►3.1 Inhoudelijke vragen" xr:uid="{ADB85ADF-16E5-426D-AEA3-0800E1863030}"/>
    <hyperlink ref="A155:C155" location="'snelle start'!A190" display="►3.2 Fouten " xr:uid="{40D2BEFA-5BE5-4F66-9029-EBDFAD69E7E7}"/>
    <hyperlink ref="A156:D156" location="'snelle start'!A195" display="►3.3 Voorbeelden" xr:uid="{739AB1CE-F771-4AE8-A527-C1D80208B103}"/>
    <hyperlink ref="F8:J10" location="'snelle start'!A1" display="►Introductie + helpdesk" xr:uid="{4CB50541-B3F3-4A6E-A486-4B95D27F0109}"/>
    <hyperlink ref="F8:P8" location="intro!A14" display="►Introductie + helpdesk" xr:uid="{08DFB8CD-23BB-4D3D-B4E0-7D4C02C46492}"/>
    <hyperlink ref="F9:P9" location="intro!A33" display="►Snelle-start / de knoppen" xr:uid="{D8FD96DF-E86F-4711-A884-9B60FAE43FB9}"/>
    <hyperlink ref="F10:P10" location="intro!A153" display="►Veel gestelde vragen (FAQ)" xr:uid="{4F645E0A-51D1-4C55-9511-03799AC91C0B}"/>
    <hyperlink ref="A154:E154" location="intro!A160" display="►3.1 Inhoudelijke vragen" xr:uid="{D58FA274-EB50-4538-AD40-82DB1E0AC439}"/>
    <hyperlink ref="A155:E155" location="'snelle start'!A296" display="►3.2 Tips en aandachtspunten" xr:uid="{B20F21CD-FB5B-4B4C-9B81-30EC6780FA2D}"/>
    <hyperlink ref="A156:E156" location="'snelle start'!A308" display="►3.3 Help" xr:uid="{2202884E-01F5-42F9-A375-640DEF9215AB}"/>
    <hyperlink ref="A161:J161" location="'snelle start'!A171" display="►" xr:uid="{F16E767A-ACCC-4C85-A9AD-8217B73E9893}"/>
    <hyperlink ref="A162:J162" location="'snelle start'!A181" display="►" xr:uid="{15ED158E-6FB7-445E-8DFC-6AEF732BC9BB}"/>
    <hyperlink ref="F8" location="intro!A14" display="►Introductie + helpdesk" xr:uid="{5623B1EB-C7F2-46DD-B873-5C579369DD26}"/>
    <hyperlink ref="F9" location="intro!A33" display="►Snelle-start / de knoppen" xr:uid="{470C719E-1DEA-4505-85B9-51A789022DB7}"/>
    <hyperlink ref="F10" location="intro!A153" display="►Veel gestelde vragen (FAQ)" xr:uid="{C141B0F8-F094-43D8-8F76-1ECBFB046F5B}"/>
    <hyperlink ref="A31" location="intro!F7" display="◄◄Snelle start" xr:uid="{0C19A283-E6A3-4994-8F20-4C6381C18AF6}"/>
    <hyperlink ref="A50" location="intro!F7" display="◄◄Snelle start" xr:uid="{8CD2918C-36AE-4407-BE82-DA758DE74B33}"/>
    <hyperlink ref="A79" location="intro!F7" display="◄◄Snelle start" xr:uid="{D3EFFE9F-6EE9-4CBB-BD20-A2B0906E9197}"/>
    <hyperlink ref="A109" location="intro!F7" display="◄◄Snelle start" xr:uid="{69782100-3ECC-4409-93F0-5552B8CECE81}"/>
    <hyperlink ref="A137" location="intro!F7" display="◄◄Snelle start" xr:uid="{25214734-51E2-4823-ADEE-68D572E80698}"/>
    <hyperlink ref="A144" location="intro!F7" display="◄◄Snelle start" xr:uid="{1EDA5AE9-3319-4617-A8E6-4E1FF7163DC8}"/>
    <hyperlink ref="A150" location="intro!F7" display="◄◄Snelle start" xr:uid="{411C22DA-8164-4E50-B355-EF420D73A72A}"/>
    <hyperlink ref="A158" location="intro!F7" display="◄◄Snelle start" xr:uid="{9D673696-D254-4431-9814-71E0A36CF3D3}"/>
    <hyperlink ref="A34" location="intro!A42" display="►2.1 Werkwijze beoordeling implementatie circulariteit met de Circulaire Peiler" xr:uid="{7C472396-55D5-4BF3-9D22-AD93E6DECD9C}"/>
    <hyperlink ref="A35" location="intro!A52" display="►2.2 Procesmatige beoordeling via multi-criteria (algemeen)" xr:uid="{5690D8EA-F650-42EC-9132-6B765DA7C3DA}"/>
    <hyperlink ref="A36" location="intro!A81" display="►2.3 Knoppen voor de procesmatige beoordeling" xr:uid="{78F6EC40-9BC3-4060-8B6D-2C32F6B2E057}"/>
    <hyperlink ref="A37" location="intro!A111" display="►2.4 Kwantitatieve beoordeling milieueffect: MKI / CO2 / CI (CB'23)" xr:uid="{FFD1E72B-9DD3-41EC-BF72-8E09199A8137}"/>
    <hyperlink ref="A38" location="intro!A139" display="►2.5 Samenvatting resultaten voor printuitvoer" xr:uid="{1E70B7AC-278E-4E24-8D2B-E5B5309A5FD2}"/>
    <hyperlink ref="A39" location="intro!A146" display="►2.6 Vergelijking alternatieven" xr:uid="{7BE58E18-B68C-4510-BC4D-CC5EBD5B3995}"/>
    <hyperlink ref="A154" location="intro!A160" display="►3.1 Inhoudelijke vragen" xr:uid="{402FDB1A-E1FB-488C-B85E-8A1D0C71A677}"/>
    <hyperlink ref="A155" location="intro!A296" display="►3.2 Tips en aandachtspunten" xr:uid="{CF6D6E67-2655-45EF-BA0D-C460A60D847D}"/>
    <hyperlink ref="A156" location="intro!A308" display="►3.3 Help" xr:uid="{BBBC9546-45F4-45F2-824B-B5C6A3A71B6E}"/>
    <hyperlink ref="A155:G155" location="intro!A296" display="►3.2 Tips en aandachtspunten" xr:uid="{1388C524-57A0-453C-A0AF-3B965D75C722}"/>
    <hyperlink ref="A156:G156" location="intro!A308" display="►3.3 Help" xr:uid="{B81630D1-940A-49AC-A274-39C5CB445657}"/>
    <hyperlink ref="A34:I34" location="intro!A42" display="►2.1 Werkwijze beoordeling implementatie circulariteit met de Circulaire Peiler" xr:uid="{EB0A803E-AA11-482A-BFB5-F7268F037431}"/>
    <hyperlink ref="A35:I35" location="intro!A52" display="►2.2 Procesmatige beoordeling via multi-criteria (algemeen)" xr:uid="{7DC55E88-F911-4DF9-875B-8B41A1F1963C}"/>
    <hyperlink ref="A36:I36" location="intro!A81" display="►2.3 Knoppen voor de procesmatige beoordeling" xr:uid="{F6B306EF-3D72-4078-B0E8-6E2E7C30ACE7}"/>
    <hyperlink ref="A37:I37" location="intro!A111" display="►2.4 Kwantitatieve beoordeling milieueffect: MKI / CO2 / CI (CB'23)" xr:uid="{53ADEF8A-FDF0-4313-B3D5-FE91966FDCDB}"/>
    <hyperlink ref="A38:I38" location="intro!A139" display="►2.5 Samenvatting resultaten voor printuitvoer" xr:uid="{64A0F41E-BB9F-4E1C-85B9-BA4EDC5F5EEA}"/>
    <hyperlink ref="A39:I39" location="intro!A146" display="►2.6 Vergelijking alternatieven" xr:uid="{54A52125-67E4-429D-99A0-42053ECFA5FB}"/>
    <hyperlink ref="A161:K161" location="intro!A171" display="►" xr:uid="{460FB921-F8D6-44A6-94B8-DCCE91ECBCD5}"/>
    <hyperlink ref="A162:K162" location="intro!A181" display="►" xr:uid="{91E1A417-2568-4B4E-90B6-E686B6742294}"/>
    <hyperlink ref="A163:K163" location="intro!A187" display="►" xr:uid="{ED0313F9-DA8D-4E63-A90C-3B30A03BA0C4}"/>
    <hyperlink ref="A164:K164" location="intro!A195" display="►" xr:uid="{5756E742-CA5A-438D-A51B-36CDD126817D}"/>
    <hyperlink ref="A165:K165" location="intro!A227" display="►" xr:uid="{7839AF1D-75B6-4C79-B2F3-5B8EB55137DE}"/>
    <hyperlink ref="A166:K166" location="intro!A238" display="►" xr:uid="{2066ACB6-444A-4F4B-94B3-C88FEF78022B}"/>
    <hyperlink ref="A167:K167" location="intro!A257" display="►" xr:uid="{A153F02E-40D2-4524-AF25-238CEEB37D44}"/>
    <hyperlink ref="A168:K168" location="intro!A262" display="►" xr:uid="{F343FBD2-9AA7-4BBA-A390-EA90410941D8}"/>
    <hyperlink ref="A169:K169" location="intro!A279" display="►" xr:uid="{2D580D86-070C-4DB4-9392-C1A71BC972A8}"/>
    <hyperlink ref="A170" location="intro!F7" display="◄◄Snelle start" xr:uid="{299CFD9C-EE99-49E1-80CD-27CFD86E85E0}"/>
    <hyperlink ref="A180" location="intro!F7" display="◄◄Snelle start" xr:uid="{DABB8AE6-9080-4DA7-AB55-19B2D8F7C87C}"/>
    <hyperlink ref="A186" location="intro!F7" display="◄◄Snelle start" xr:uid="{D9796147-EF28-4ED1-8BB0-B7BB75877CED}"/>
    <hyperlink ref="A194" location="intro!F7" display="◄◄Snelle start" xr:uid="{5C19B8FD-A5C0-4CCC-B0B9-0489FE056E88}"/>
    <hyperlink ref="A210" location="intro!F7" display="◄◄Snelle start" xr:uid="{C2C78FD9-105C-453E-AF17-795327FEE0D6}"/>
    <hyperlink ref="A237" location="intro!F7" display="◄◄Snelle start" xr:uid="{3278753C-9EB3-4F98-B153-674674D1738B}"/>
    <hyperlink ref="A256" location="intro!F7" display="◄◄Snelle start" xr:uid="{97597303-8B23-41BE-B35C-D4FBC741F1A4}"/>
    <hyperlink ref="A261" location="intro!F7" display="◄◄Snelle start" xr:uid="{BC656C6C-5D17-4132-909D-328D5D581578}"/>
    <hyperlink ref="A278" location="intro!F7" display="◄◄Snelle start" xr:uid="{38803E05-2D2E-46DA-89FC-ACAAF02FC124}"/>
    <hyperlink ref="A294" location="intro!F7" display="◄◄Snelle start" xr:uid="{60FE1D8E-5972-4626-8E29-7D5670CD0A51}"/>
    <hyperlink ref="A310" location="intro!F7" display="◄◄Snelle start" xr:uid="{B141AB7C-A872-440F-88A3-3F753E2DBC80}"/>
    <hyperlink ref="A314:F314" location="intro!A319" display="Bijlage 1: Voorbeeldschermen" xr:uid="{59BA66CD-E924-4629-BAC7-617A8A58D5C1}"/>
    <hyperlink ref="A315:F315" location="intro!A461" display="Bijlage 2: De acht circulaire ontwerpprinces" xr:uid="{9B91828D-6FAB-45DB-A601-8C22C5384C1C}"/>
    <hyperlink ref="A316:F316" location="intro!A495" display="Bijlage 3: 10-R model Prioriteitsvolgorde Circulariteit" xr:uid="{F3F23F63-B698-4BEB-AEBD-A926BA0BFAC7}"/>
    <hyperlink ref="A40" location="intro!F7" display="◄◄Snelle start" xr:uid="{E5DF8322-9923-417E-83DF-8C3C49954F51}"/>
    <hyperlink ref="L35:P35" location="intro!A319" display="Bijlage 1: Voorbeeldschermen" xr:uid="{E62ED562-D765-4701-8741-FD0CD0FC3E15}"/>
    <hyperlink ref="L36:P36" location="intro!A461" display="Bijlage 2: De acht circulaire ontwerpprinces" xr:uid="{D0083C0C-7339-4CB7-A329-DBABB296C1FD}"/>
    <hyperlink ref="L37:P37" location="intro!A495" display="Bijlage 3: 10-R model Prioriteitsvolgorde Circulariteit" xr:uid="{72300E1C-9C06-4E25-843A-810E2F30289C}"/>
    <hyperlink ref="L34:P34" location="intro!A313" display="BIJLAGEN" xr:uid="{7B4644BB-ED1F-4699-9DF2-7E2F06C9F7D6}"/>
    <hyperlink ref="A317" location="intro!F7" display="◄◄Snelle start" xr:uid="{58B32931-9909-495D-B850-64AE18F2C081}"/>
    <hyperlink ref="A459" location="intro!F7" display="◄◄Snelle start" xr:uid="{D273EC30-13AF-4800-9B91-B1F5E8AAAEB8}"/>
    <hyperlink ref="A492" location="intro!F7" display="◄◄Snelle start" xr:uid="{984E8767-4DC0-4C3B-B348-E92451CD6673}"/>
    <hyperlink ref="A509" location="intro!F7" display="◄◄Snelle start" xr:uid="{8B39FF21-AE38-4657-8B58-B31704D1C306}"/>
    <hyperlink ref="F7:I7" location="intro!A8" display="SNELLE START INSTRUCTIE" xr:uid="{ED5C735D-3FAC-463B-8396-7F4DE4FD3DE8}"/>
    <hyperlink ref="F7:P7" location="intro!F8" display="SNELLE START INSTRUCTIE" xr:uid="{3FB17A35-D9EB-4AA6-B867-9D836D8F495C}"/>
  </hyperlink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0BF1E-7E6F-4708-9B4D-AAEDC85A2C50}">
  <sheetPr>
    <tabColor rgb="FFFF0000"/>
  </sheetPr>
  <dimension ref="A1:CAD88"/>
  <sheetViews>
    <sheetView showGridLines="0" showRowColHeaders="0" zoomScale="55" zoomScaleNormal="55" workbookViewId="0">
      <selection activeCell="N4" sqref="N4"/>
    </sheetView>
  </sheetViews>
  <sheetFormatPr defaultRowHeight="14.4" x14ac:dyDescent="0.3"/>
  <cols>
    <col min="1" max="9" width="1.6640625" customWidth="1"/>
    <col min="10" max="10" width="89.33203125" style="1" customWidth="1"/>
    <col min="11" max="11" width="6.33203125" bestFit="1" customWidth="1"/>
    <col min="12" max="12" width="35.44140625" customWidth="1"/>
    <col min="13" max="13" width="2.77734375" customWidth="1"/>
    <col min="14" max="14" width="134.6640625" customWidth="1"/>
    <col min="15" max="15" width="1.6640625" customWidth="1"/>
    <col min="16" max="30" width="5.6640625" hidden="1" customWidth="1"/>
    <col min="31" max="31" width="8.33203125" hidden="1" customWidth="1"/>
    <col min="32" max="36" width="5.6640625" hidden="1" customWidth="1"/>
    <col min="37" max="37" width="7.6640625" hidden="1" customWidth="1"/>
    <col min="38" max="38" width="28" customWidth="1"/>
    <col min="39" max="39" width="2.6640625" hidden="1" customWidth="1"/>
    <col min="40" max="40" width="8.33203125" style="108" customWidth="1"/>
    <col min="41" max="41" width="2.6640625" hidden="1" customWidth="1"/>
    <col min="42" max="42" width="18.6640625" style="109" customWidth="1"/>
    <col min="43" max="43" width="5.6640625" customWidth="1"/>
    <col min="44" max="44" width="97" customWidth="1"/>
    <col min="45" max="46" width="8.88671875" customWidth="1"/>
    <col min="47" max="47" width="8.6640625" customWidth="1"/>
    <col min="48" max="48" width="21.6640625" customWidth="1"/>
    <col min="49" max="50" width="8.88671875" customWidth="1"/>
    <col min="51" max="51" width="8.6640625" customWidth="1"/>
    <col min="52" max="52" width="21.6640625" customWidth="1"/>
    <col min="53" max="54" width="8.88671875" customWidth="1"/>
    <col min="55" max="55" width="8.6640625" customWidth="1"/>
    <col min="56" max="56" width="21.6640625" customWidth="1"/>
    <col min="57" max="63" width="8.88671875" customWidth="1"/>
    <col min="64" max="64" width="26.88671875" hidden="1" customWidth="1"/>
    <col min="65" max="66" width="1.6640625" style="207" hidden="1" customWidth="1"/>
    <col min="67" max="67" width="5.33203125" style="207" hidden="1" customWidth="1"/>
    <col min="68" max="68" width="8.88671875" hidden="1" customWidth="1"/>
    <col min="69" max="69" width="8.88671875" customWidth="1"/>
    <col min="2021" max="2022" width="1.77734375" customWidth="1"/>
    <col min="2023" max="2054" width="1.77734375" style="794" customWidth="1"/>
    <col min="2055" max="2060" width="8.77734375" customWidth="1"/>
  </cols>
  <sheetData>
    <row r="1" spans="1:67 2022:2057" ht="69" customHeight="1" thickBot="1" x14ac:dyDescent="0.35">
      <c r="BYT1" s="299"/>
      <c r="BYU1" s="782"/>
      <c r="BYV1" s="782"/>
      <c r="BYW1" s="782"/>
      <c r="BYX1" s="782"/>
      <c r="BYY1" s="782"/>
      <c r="BYZ1" s="782"/>
      <c r="BZA1" s="782"/>
      <c r="BZB1" s="782"/>
      <c r="BZC1" s="782"/>
      <c r="BZD1" s="782"/>
      <c r="BZE1" s="782"/>
      <c r="BZF1" s="782"/>
      <c r="BZG1" s="782"/>
      <c r="BZH1" s="782"/>
      <c r="BZI1" s="782"/>
      <c r="BZJ1" s="782"/>
      <c r="BZK1" s="782"/>
      <c r="BZL1" s="782"/>
      <c r="BZM1" s="782"/>
      <c r="BZN1" s="782"/>
      <c r="BZO1" s="782"/>
      <c r="BZP1" s="782"/>
      <c r="BZQ1" s="782"/>
      <c r="BZR1" s="782"/>
      <c r="BZS1" s="782"/>
      <c r="BZT1" s="782"/>
      <c r="BZU1" s="782"/>
      <c r="BZV1" s="782"/>
      <c r="BZW1" s="782"/>
      <c r="BZX1" s="782"/>
      <c r="BZY1" s="782"/>
      <c r="BZZ1" s="783"/>
      <c r="CAA1" s="278"/>
      <c r="CAB1" s="278"/>
      <c r="CAC1" s="279"/>
    </row>
    <row r="2" spans="1:67 2022:2057" ht="91.8" x14ac:dyDescent="1.65">
      <c r="K2" s="291"/>
      <c r="L2" s="550"/>
      <c r="M2" s="267"/>
      <c r="N2" s="550" t="s">
        <v>18</v>
      </c>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74"/>
      <c r="AN2" s="702"/>
      <c r="AO2" s="267"/>
      <c r="AP2" s="703"/>
      <c r="BYT2" s="299"/>
      <c r="BYU2" s="782"/>
      <c r="BYV2" s="782"/>
      <c r="BYW2" s="782"/>
      <c r="BYX2" s="782"/>
      <c r="BYY2" s="782"/>
      <c r="BYZ2" s="782"/>
      <c r="BZA2" s="782"/>
      <c r="BZB2" s="782"/>
      <c r="BZC2" s="782"/>
      <c r="BZD2" s="782"/>
      <c r="BZE2" s="782"/>
      <c r="BZF2" s="782"/>
      <c r="BZG2" s="782"/>
      <c r="BZH2" s="782"/>
      <c r="BZI2" s="782"/>
      <c r="BZJ2" s="782"/>
      <c r="BZK2" s="782"/>
      <c r="BZL2" s="782"/>
      <c r="BZM2" s="782"/>
      <c r="BZN2" s="782"/>
      <c r="BZO2" s="782"/>
      <c r="BZP2" s="782"/>
      <c r="BZQ2" s="782"/>
      <c r="BZR2" s="782"/>
      <c r="BZS2" s="782"/>
      <c r="BZT2" s="782"/>
      <c r="BZU2" s="782"/>
      <c r="BZV2" s="782"/>
      <c r="BZW2" s="782"/>
      <c r="BZX2" s="782"/>
      <c r="BZY2" s="782"/>
      <c r="BZZ2" s="784"/>
      <c r="CAA2" s="281"/>
      <c r="CAB2" s="281"/>
      <c r="CAC2" s="282"/>
    </row>
    <row r="3" spans="1:67 2022:2057" ht="34.200000000000003" thickBot="1" x14ac:dyDescent="0.7">
      <c r="K3" s="693"/>
      <c r="L3" s="695"/>
      <c r="M3" s="20"/>
      <c r="N3" s="695" t="s">
        <v>19</v>
      </c>
      <c r="O3" s="20"/>
      <c r="P3" s="20"/>
      <c r="Q3" s="20"/>
      <c r="R3" s="20"/>
      <c r="S3" s="20"/>
      <c r="T3" s="20"/>
      <c r="U3" s="20"/>
      <c r="V3" s="20"/>
      <c r="W3" s="20"/>
      <c r="X3" s="20"/>
      <c r="Y3" s="20"/>
      <c r="Z3" s="20"/>
      <c r="AA3" s="20"/>
      <c r="AB3" s="20"/>
      <c r="AC3" s="20"/>
      <c r="AD3" s="20"/>
      <c r="AE3" s="20"/>
      <c r="AF3" s="20"/>
      <c r="AG3" s="20"/>
      <c r="AH3" s="20"/>
      <c r="AI3" s="20"/>
      <c r="AJ3" s="20"/>
      <c r="AK3" s="20"/>
      <c r="AL3" s="20"/>
      <c r="AM3" s="275"/>
      <c r="AN3" s="183"/>
      <c r="AO3" s="20"/>
      <c r="AP3" s="617"/>
      <c r="BYT3" s="299"/>
      <c r="BYU3" s="782"/>
      <c r="BYV3" s="782"/>
      <c r="BYW3" s="782"/>
      <c r="BYX3" s="782"/>
      <c r="BYY3" s="782"/>
      <c r="BYZ3" s="782"/>
      <c r="BZA3" s="782"/>
      <c r="BZB3" s="782"/>
      <c r="BZC3" s="782"/>
      <c r="BZD3" s="782"/>
      <c r="BZE3" s="782"/>
      <c r="BZF3" s="782"/>
      <c r="BZG3" s="782"/>
      <c r="BZH3" s="782"/>
      <c r="BZI3" s="782"/>
      <c r="BZJ3" s="782"/>
      <c r="BZK3" s="782"/>
      <c r="BZL3" s="782"/>
      <c r="BZM3" s="782"/>
      <c r="BZN3" s="782"/>
      <c r="BZO3" s="782"/>
      <c r="BZP3" s="782"/>
      <c r="BZQ3" s="782"/>
      <c r="BZR3" s="782"/>
      <c r="BZS3" s="782"/>
      <c r="BZT3" s="782"/>
      <c r="BZU3" s="782"/>
      <c r="BZV3" s="782"/>
      <c r="BZW3" s="782"/>
      <c r="BZX3" s="782"/>
      <c r="BZY3" s="782"/>
      <c r="BZZ3" s="784"/>
      <c r="CAA3" s="281"/>
      <c r="CAB3" s="281"/>
      <c r="CAC3" s="282"/>
    </row>
    <row r="4" spans="1:67 2022:2057" ht="15.6" x14ac:dyDescent="0.3">
      <c r="K4" s="291"/>
      <c r="L4" s="696" t="s">
        <v>370</v>
      </c>
      <c r="M4" s="697" t="str">
        <f>IF(N4="","         voer hier de projectnaam in","")</f>
        <v/>
      </c>
      <c r="N4" s="740" t="s">
        <v>436</v>
      </c>
      <c r="O4" s="267"/>
      <c r="P4" s="267"/>
      <c r="Q4" s="267"/>
      <c r="R4" s="267"/>
      <c r="S4" s="267"/>
      <c r="T4" s="267"/>
      <c r="U4" s="267"/>
      <c r="V4" s="267"/>
      <c r="W4" s="267"/>
      <c r="X4" s="267"/>
      <c r="Y4" s="267"/>
      <c r="Z4" s="267"/>
      <c r="AA4" s="267"/>
      <c r="AB4" s="267"/>
      <c r="AC4" s="267"/>
      <c r="AD4" s="267"/>
      <c r="AE4" s="267"/>
      <c r="AF4" s="267"/>
      <c r="AG4" s="267"/>
      <c r="AH4" s="267"/>
      <c r="AI4" s="267"/>
      <c r="AJ4" s="267"/>
      <c r="AK4" s="267"/>
      <c r="AL4" s="698"/>
      <c r="AM4" s="698"/>
      <c r="AN4" s="702"/>
      <c r="AO4" s="304"/>
      <c r="AP4" s="703"/>
      <c r="BYT4" s="299"/>
      <c r="BYU4" s="782"/>
      <c r="BYV4" s="782"/>
      <c r="BYW4" s="782"/>
      <c r="BYX4" s="782"/>
      <c r="BYY4" s="782"/>
      <c r="BYZ4" s="782"/>
      <c r="BZA4" s="782"/>
      <c r="BZB4" s="782"/>
      <c r="BZC4" s="782"/>
      <c r="BZD4" s="782"/>
      <c r="BZE4" s="782"/>
      <c r="BZF4" s="782"/>
      <c r="BZG4" s="782"/>
      <c r="BZH4" s="782"/>
      <c r="BZI4" s="782"/>
      <c r="BZJ4" s="782"/>
      <c r="BZK4" s="782"/>
      <c r="BZL4" s="782"/>
      <c r="BZM4" s="782"/>
      <c r="BZN4" s="782"/>
      <c r="BZO4" s="782"/>
      <c r="BZP4" s="782"/>
      <c r="BZQ4" s="782"/>
      <c r="BZR4" s="782"/>
      <c r="BZS4" s="782"/>
      <c r="BZT4" s="782"/>
      <c r="BZU4" s="782"/>
      <c r="BZV4" s="782"/>
      <c r="BZW4" s="782"/>
      <c r="BZX4" s="782"/>
      <c r="BZY4" s="782"/>
      <c r="BZZ4" s="784"/>
      <c r="CAA4" s="281"/>
      <c r="CAB4" s="281"/>
      <c r="CAC4" s="282"/>
    </row>
    <row r="5" spans="1:67 2022:2057" ht="15.6" x14ac:dyDescent="0.3">
      <c r="K5" s="275"/>
      <c r="L5" s="305" t="s">
        <v>313</v>
      </c>
      <c r="M5" s="552" t="str">
        <f>IF(N5="","         voer hier de naam van de opdrachtgever in","")</f>
        <v/>
      </c>
      <c r="N5" s="739" t="s">
        <v>441</v>
      </c>
      <c r="O5" s="20"/>
      <c r="P5" s="20"/>
      <c r="Q5" s="20"/>
      <c r="R5" s="20"/>
      <c r="S5" s="20"/>
      <c r="T5" s="20"/>
      <c r="U5" s="20"/>
      <c r="V5" s="20"/>
      <c r="W5" s="20"/>
      <c r="X5" s="20"/>
      <c r="Y5" s="20"/>
      <c r="Z5" s="20"/>
      <c r="AA5" s="20"/>
      <c r="AB5" s="20"/>
      <c r="AC5" s="20"/>
      <c r="AD5" s="20"/>
      <c r="AE5" s="20"/>
      <c r="AF5" s="20"/>
      <c r="AG5" s="20"/>
      <c r="AH5" s="20"/>
      <c r="AI5" s="20"/>
      <c r="AJ5" s="20"/>
      <c r="AK5" s="20"/>
      <c r="AL5" s="167"/>
      <c r="AM5" s="167"/>
      <c r="AN5" s="183"/>
      <c r="AO5" s="20"/>
      <c r="AP5" s="707" t="s">
        <v>372</v>
      </c>
      <c r="BYT5" s="299"/>
      <c r="BYU5" s="782"/>
      <c r="BYV5" s="782"/>
      <c r="BYW5" s="782"/>
      <c r="BYX5" s="782"/>
      <c r="BYY5" s="782"/>
      <c r="BYZ5" s="782"/>
      <c r="BZA5" s="782"/>
      <c r="BZB5" s="782"/>
      <c r="BZC5" s="782"/>
      <c r="BZD5" s="782"/>
      <c r="BZE5" s="782"/>
      <c r="BZF5" s="782"/>
      <c r="BZG5" s="782"/>
      <c r="BZH5" s="782"/>
      <c r="BZI5" s="782"/>
      <c r="BZJ5" s="782"/>
      <c r="BZK5" s="782"/>
      <c r="BZL5" s="782"/>
      <c r="BZM5" s="782"/>
      <c r="BZN5" s="782"/>
      <c r="BZO5" s="782"/>
      <c r="BZP5" s="782"/>
      <c r="BZQ5" s="782"/>
      <c r="BZR5" s="782"/>
      <c r="BZS5" s="782"/>
      <c r="BZT5" s="782"/>
      <c r="BZU5" s="782"/>
      <c r="BZV5" s="782"/>
      <c r="BZW5" s="782"/>
      <c r="BZX5" s="782"/>
      <c r="BZY5" s="782"/>
      <c r="BZZ5" s="784"/>
      <c r="CAA5" s="281"/>
      <c r="CAB5" s="281"/>
      <c r="CAC5" s="282"/>
    </row>
    <row r="6" spans="1:67 2022:2057" ht="15.6" x14ac:dyDescent="0.3">
      <c r="K6" s="275"/>
      <c r="L6" s="305" t="s">
        <v>316</v>
      </c>
      <c r="M6" s="552" t="str">
        <f>IF(N6="","         voer hier de locatie van het project in","")</f>
        <v/>
      </c>
      <c r="N6" s="739" t="s">
        <v>437</v>
      </c>
      <c r="O6" s="20"/>
      <c r="P6" s="20"/>
      <c r="Q6" s="20"/>
      <c r="R6" s="20"/>
      <c r="S6" s="20"/>
      <c r="T6" s="20"/>
      <c r="U6" s="20"/>
      <c r="V6" s="20"/>
      <c r="W6" s="20"/>
      <c r="X6" s="20"/>
      <c r="Y6" s="20"/>
      <c r="Z6" s="20"/>
      <c r="AA6" s="20"/>
      <c r="AB6" s="20"/>
      <c r="AC6" s="20"/>
      <c r="AD6" s="20"/>
      <c r="AE6" s="20"/>
      <c r="AF6" s="20"/>
      <c r="AG6" s="20"/>
      <c r="AH6" s="20"/>
      <c r="AI6" s="20"/>
      <c r="AJ6" s="20"/>
      <c r="AK6" s="20"/>
      <c r="AL6" s="167"/>
      <c r="AM6" s="694"/>
      <c r="AN6" s="686"/>
      <c r="AO6" s="687"/>
      <c r="AP6" s="704" t="s">
        <v>359</v>
      </c>
      <c r="BYT6" s="299"/>
      <c r="BYU6" s="782"/>
      <c r="BYV6" s="782"/>
      <c r="BYW6" s="782"/>
      <c r="BYX6" s="782"/>
      <c r="BYY6" s="782"/>
      <c r="BYZ6" s="782"/>
      <c r="BZA6" s="782"/>
      <c r="BZB6" s="782"/>
      <c r="BZC6" s="782"/>
      <c r="BZD6" s="782"/>
      <c r="BZE6" s="782"/>
      <c r="BZF6" s="782"/>
      <c r="BZG6" s="782"/>
      <c r="BZH6" s="782"/>
      <c r="BZI6" s="782"/>
      <c r="BZJ6" s="782"/>
      <c r="BZK6" s="782"/>
      <c r="BZL6" s="782"/>
      <c r="BZM6" s="782"/>
      <c r="BZN6" s="782"/>
      <c r="BZO6" s="782"/>
      <c r="BZP6" s="782"/>
      <c r="BZQ6" s="782"/>
      <c r="BZR6" s="782"/>
      <c r="BZS6" s="782"/>
      <c r="BZT6" s="782"/>
      <c r="BZU6" s="782"/>
      <c r="BZV6" s="782"/>
      <c r="BZW6" s="782"/>
      <c r="BZX6" s="782"/>
      <c r="BZY6" s="782"/>
      <c r="BZZ6" s="784"/>
      <c r="CAA6" s="281"/>
      <c r="CAB6" s="281"/>
      <c r="CAC6" s="282"/>
    </row>
    <row r="7" spans="1:67 2022:2057" ht="15.6" x14ac:dyDescent="0.3">
      <c r="K7" s="275"/>
      <c r="L7" s="305" t="s">
        <v>317</v>
      </c>
      <c r="M7" s="552" t="str">
        <f>IF(N7="","         voer hier de naam van het berekende alternatief in","")</f>
        <v/>
      </c>
      <c r="N7" s="741" t="s">
        <v>438</v>
      </c>
      <c r="O7" s="20"/>
      <c r="P7" s="20"/>
      <c r="Q7" s="20"/>
      <c r="R7" s="20"/>
      <c r="S7" s="20"/>
      <c r="T7" s="20"/>
      <c r="U7" s="20"/>
      <c r="V7" s="20"/>
      <c r="W7" s="20"/>
      <c r="X7" s="20"/>
      <c r="Y7" s="20"/>
      <c r="Z7" s="20"/>
      <c r="AA7" s="20"/>
      <c r="AB7" s="20"/>
      <c r="AC7" s="20"/>
      <c r="AD7" s="20"/>
      <c r="AE7" s="20"/>
      <c r="AF7" s="20"/>
      <c r="AG7" s="20"/>
      <c r="AH7" s="20"/>
      <c r="AI7" s="20"/>
      <c r="AJ7" s="20"/>
      <c r="AK7" s="20"/>
      <c r="AL7" s="167"/>
      <c r="AM7" s="167"/>
      <c r="AN7" s="183"/>
      <c r="AO7" s="20"/>
      <c r="AP7" s="617"/>
      <c r="BYT7" s="299"/>
      <c r="BYU7" s="782"/>
      <c r="BYV7" s="782"/>
      <c r="BYW7" s="782"/>
      <c r="BYX7" s="782"/>
      <c r="BYY7" s="782"/>
      <c r="BYZ7" s="782"/>
      <c r="BZA7" s="782"/>
      <c r="BZB7" s="782"/>
      <c r="BZC7" s="782"/>
      <c r="BZD7" s="782"/>
      <c r="BZE7" s="782"/>
      <c r="BZF7" s="782"/>
      <c r="BZG7" s="782"/>
      <c r="BZH7" s="782"/>
      <c r="BZI7" s="782"/>
      <c r="BZJ7" s="782"/>
      <c r="BZK7" s="782"/>
      <c r="BZL7" s="782"/>
      <c r="BZM7" s="782"/>
      <c r="BZN7" s="782"/>
      <c r="BZO7" s="782"/>
      <c r="BZP7" s="782"/>
      <c r="BZQ7" s="782"/>
      <c r="BZR7" s="782"/>
      <c r="BZS7" s="782"/>
      <c r="BZT7" s="782"/>
      <c r="BZU7" s="782"/>
      <c r="BZV7" s="782"/>
      <c r="BZW7" s="782"/>
      <c r="BZX7" s="782"/>
      <c r="BZY7" s="782"/>
      <c r="BZZ7" s="784"/>
      <c r="CAA7" s="281"/>
      <c r="CAB7" s="281"/>
      <c r="CAC7" s="282"/>
    </row>
    <row r="8" spans="1:67 2022:2057" ht="15.6" x14ac:dyDescent="0.3">
      <c r="K8" s="275"/>
      <c r="L8" s="305" t="s">
        <v>315</v>
      </c>
      <c r="M8" s="553">
        <f>IF(N8="initiatieffase",1)+IF(N8="verkenningsfase",2)+IF(N8="beheer/onderhoudsfase",6)+IF(N8="contractvormingsfase",4)+IF(N8="realisatiefase",5)+IF(N8="&lt;eigen weegfactoren&gt;",7)+IF(N8="planuitwerkingsfase",3)</f>
        <v>2</v>
      </c>
      <c r="N8" s="742" t="s">
        <v>22</v>
      </c>
      <c r="O8" s="20"/>
      <c r="P8" s="20"/>
      <c r="Q8" s="20"/>
      <c r="R8" s="20"/>
      <c r="S8" s="20"/>
      <c r="T8" s="20"/>
      <c r="U8" s="20"/>
      <c r="V8" s="20"/>
      <c r="W8" s="20"/>
      <c r="X8" s="20"/>
      <c r="Y8" s="20"/>
      <c r="Z8" s="20"/>
      <c r="AA8" s="20"/>
      <c r="AB8" s="20"/>
      <c r="AC8" s="20"/>
      <c r="AD8" s="20"/>
      <c r="AE8" s="20"/>
      <c r="AF8" s="20"/>
      <c r="AG8" s="20"/>
      <c r="AH8" s="20"/>
      <c r="AI8" s="20"/>
      <c r="AJ8" s="20"/>
      <c r="AK8" s="20"/>
      <c r="AL8" s="167"/>
      <c r="AM8" s="167"/>
      <c r="AN8" s="183"/>
      <c r="AO8" s="302"/>
      <c r="AP8" s="617"/>
      <c r="BYT8" s="299"/>
      <c r="BYU8" s="782"/>
      <c r="BYV8" s="782"/>
      <c r="BYW8" s="782"/>
      <c r="BYX8" s="782"/>
      <c r="BYY8" s="782"/>
      <c r="BYZ8" s="782"/>
      <c r="BZA8" s="782"/>
      <c r="BZB8" s="782"/>
      <c r="BZC8" s="782"/>
      <c r="BZD8" s="782"/>
      <c r="BZE8" s="782"/>
      <c r="BZF8" s="782"/>
      <c r="BZG8" s="782"/>
      <c r="BZH8" s="782"/>
      <c r="BZI8" s="782"/>
      <c r="BZJ8" s="782"/>
      <c r="BZK8" s="782"/>
      <c r="BZL8" s="782"/>
      <c r="BZM8" s="782"/>
      <c r="BZN8" s="782"/>
      <c r="BZO8" s="782"/>
      <c r="BZP8" s="782"/>
      <c r="BZQ8" s="782"/>
      <c r="BZR8" s="782"/>
      <c r="BZS8" s="782"/>
      <c r="BZT8" s="782"/>
      <c r="BZU8" s="782"/>
      <c r="BZV8" s="782"/>
      <c r="BZW8" s="782"/>
      <c r="BZX8" s="782"/>
      <c r="BZY8" s="782"/>
      <c r="BZZ8" s="784"/>
      <c r="CAA8" s="281"/>
      <c r="CAB8" s="281"/>
      <c r="CAC8" s="282"/>
    </row>
    <row r="9" spans="1:67 2022:2057" ht="15.6" x14ac:dyDescent="0.3">
      <c r="K9" s="275"/>
      <c r="L9" s="305"/>
      <c r="M9" s="681"/>
      <c r="N9" s="777" t="str">
        <f>IF(N8="","klik op het blauwe vlak en selecteer via het pull down menu de te beoordelen fase waarin het project zich bevindt (t.b.v. bepaling weegfactoren)","")</f>
        <v/>
      </c>
      <c r="O9" s="20"/>
      <c r="P9" s="20"/>
      <c r="Q9" s="20"/>
      <c r="R9" s="20"/>
      <c r="S9" s="20"/>
      <c r="T9" s="20"/>
      <c r="U9" s="20"/>
      <c r="V9" s="20"/>
      <c r="W9" s="20"/>
      <c r="X9" s="20"/>
      <c r="Y9" s="20"/>
      <c r="Z9" s="20"/>
      <c r="AA9" s="20"/>
      <c r="AB9" s="20"/>
      <c r="AC9" s="20"/>
      <c r="AD9" s="20"/>
      <c r="AE9" s="20"/>
      <c r="AF9" s="20"/>
      <c r="AG9" s="20"/>
      <c r="AH9" s="20"/>
      <c r="AI9" s="20"/>
      <c r="AJ9" s="20"/>
      <c r="AK9" s="20"/>
      <c r="AL9" s="167"/>
      <c r="AM9" s="694"/>
      <c r="AN9" s="688"/>
      <c r="AO9" s="687"/>
      <c r="AP9" s="707" t="s">
        <v>20</v>
      </c>
      <c r="BYT9" s="299"/>
      <c r="BYU9" s="782"/>
      <c r="BYV9" s="782"/>
      <c r="BYW9" s="782"/>
      <c r="BYX9" s="782"/>
      <c r="BYY9" s="782"/>
      <c r="BYZ9" s="782"/>
      <c r="BZA9" s="782"/>
      <c r="BZB9" s="782"/>
      <c r="BZC9" s="782"/>
      <c r="BZD9" s="782"/>
      <c r="BZE9" s="782"/>
      <c r="BZF9" s="782"/>
      <c r="BZG9" s="782"/>
      <c r="BZH9" s="782"/>
      <c r="BZI9" s="782"/>
      <c r="BZJ9" s="782"/>
      <c r="BZK9" s="782"/>
      <c r="BZL9" s="782"/>
      <c r="BZM9" s="782"/>
      <c r="BZN9" s="782"/>
      <c r="BZO9" s="782"/>
      <c r="BZP9" s="782"/>
      <c r="BZQ9" s="782"/>
      <c r="BZR9" s="782"/>
      <c r="BZS9" s="782"/>
      <c r="BZT9" s="782"/>
      <c r="BZU9" s="782"/>
      <c r="BZV9" s="782"/>
      <c r="BZW9" s="782"/>
      <c r="BZX9" s="782"/>
      <c r="BZY9" s="782"/>
      <c r="BZZ9" s="784"/>
      <c r="CAA9" s="281"/>
      <c r="CAB9" s="281"/>
      <c r="CAC9" s="282"/>
    </row>
    <row r="10" spans="1:67 2022:2057" ht="15.6" x14ac:dyDescent="0.3">
      <c r="K10" s="275"/>
      <c r="L10" s="305" t="s">
        <v>23</v>
      </c>
      <c r="M10" s="552" t="str">
        <f>IF(N10="","         klik op dit vlak om tekst in te voeren","")</f>
        <v/>
      </c>
      <c r="N10" s="739" t="s">
        <v>455</v>
      </c>
      <c r="O10" s="20"/>
      <c r="P10" s="20"/>
      <c r="Q10" s="20"/>
      <c r="R10" s="20"/>
      <c r="S10" s="20"/>
      <c r="T10" s="20"/>
      <c r="U10" s="20"/>
      <c r="V10" s="20"/>
      <c r="W10" s="20"/>
      <c r="X10" s="20"/>
      <c r="Y10" s="20"/>
      <c r="Z10" s="20"/>
      <c r="AA10" s="20"/>
      <c r="AB10" s="20"/>
      <c r="AC10" s="20"/>
      <c r="AD10" s="20"/>
      <c r="AE10" s="20"/>
      <c r="AF10" s="20"/>
      <c r="AG10" s="20"/>
      <c r="AH10" s="20"/>
      <c r="AI10" s="20"/>
      <c r="AJ10" s="20"/>
      <c r="AK10" s="20"/>
      <c r="AL10" s="167"/>
      <c r="AM10" s="694"/>
      <c r="AN10" s="689"/>
      <c r="AO10" s="687"/>
      <c r="AP10" s="704">
        <v>18012022</v>
      </c>
      <c r="BYT10" s="299"/>
      <c r="BYU10" s="782"/>
      <c r="BYV10" s="782"/>
      <c r="BYW10" s="782"/>
      <c r="BYX10" s="782"/>
      <c r="BYY10" s="782"/>
      <c r="BYZ10" s="782"/>
      <c r="BZA10" s="782"/>
      <c r="BZB10" s="782"/>
      <c r="BZC10" s="782"/>
      <c r="BZD10" s="782"/>
      <c r="BZE10" s="782"/>
      <c r="BZF10" s="782"/>
      <c r="BZG10" s="782"/>
      <c r="BZH10" s="782"/>
      <c r="BZI10" s="782"/>
      <c r="BZJ10" s="782"/>
      <c r="BZK10" s="782"/>
      <c r="BZL10" s="782"/>
      <c r="BZM10" s="782"/>
      <c r="BZN10" s="782"/>
      <c r="BZO10" s="782"/>
      <c r="BZP10" s="782"/>
      <c r="BZQ10" s="782"/>
      <c r="BZR10" s="782"/>
      <c r="BZS10" s="782"/>
      <c r="BZT10" s="782"/>
      <c r="BZU10" s="782"/>
      <c r="BZV10" s="782"/>
      <c r="BZW10" s="782"/>
      <c r="BZX10" s="782"/>
      <c r="BZY10" s="782"/>
      <c r="BZZ10" s="784"/>
      <c r="CAA10" s="281"/>
      <c r="CAB10" s="281"/>
      <c r="CAC10" s="282"/>
    </row>
    <row r="11" spans="1:67 2022:2057" ht="15.6" x14ac:dyDescent="0.3">
      <c r="K11" s="275"/>
      <c r="L11" s="305" t="s">
        <v>24</v>
      </c>
      <c r="M11" s="552" t="str">
        <f>IF(N11="","         klik op dit vlak om tekst in te voeren","")</f>
        <v/>
      </c>
      <c r="N11" s="774">
        <v>43831</v>
      </c>
      <c r="O11" s="20"/>
      <c r="P11" s="20"/>
      <c r="Q11" s="20"/>
      <c r="R11" s="20"/>
      <c r="S11" s="20"/>
      <c r="T11" s="20"/>
      <c r="U11" s="20"/>
      <c r="V11" s="20"/>
      <c r="W11" s="20"/>
      <c r="X11" s="20"/>
      <c r="Y11" s="20"/>
      <c r="Z11" s="20"/>
      <c r="AA11" s="20"/>
      <c r="AB11" s="20"/>
      <c r="AC11" s="20"/>
      <c r="AD11" s="20"/>
      <c r="AE11" s="20"/>
      <c r="AF11" s="20"/>
      <c r="AG11" s="20"/>
      <c r="AH11" s="20"/>
      <c r="AI11" s="20"/>
      <c r="AJ11" s="20"/>
      <c r="AK11" s="20"/>
      <c r="AL11" s="167"/>
      <c r="AM11" s="694"/>
      <c r="AN11" s="689"/>
      <c r="AO11" s="687"/>
      <c r="AP11" s="705"/>
      <c r="BYT11" s="299"/>
      <c r="BYU11" s="782"/>
      <c r="BYV11" s="782"/>
      <c r="BYW11" s="782"/>
      <c r="BYX11" s="782"/>
      <c r="BYY11" s="782"/>
      <c r="BYZ11" s="782"/>
      <c r="BZA11" s="782"/>
      <c r="BZB11" s="782"/>
      <c r="BZC11" s="782"/>
      <c r="BZD11" s="782"/>
      <c r="BZE11" s="782"/>
      <c r="BZF11" s="782"/>
      <c r="BZG11" s="782"/>
      <c r="BZH11" s="782"/>
      <c r="BZI11" s="782"/>
      <c r="BZJ11" s="782"/>
      <c r="BZK11" s="782"/>
      <c r="BZL11" s="782"/>
      <c r="BZM11" s="782"/>
      <c r="BZN11" s="782"/>
      <c r="BZO11" s="782"/>
      <c r="BZP11" s="782"/>
      <c r="BZQ11" s="782"/>
      <c r="BZR11" s="782"/>
      <c r="BZS11" s="782"/>
      <c r="BZT11" s="782"/>
      <c r="BZU11" s="782"/>
      <c r="BZV11" s="782"/>
      <c r="BZW11" s="782"/>
      <c r="BZX11" s="782"/>
      <c r="BZY11" s="782"/>
      <c r="BZZ11" s="784"/>
      <c r="CAA11" s="281"/>
      <c r="CAB11" s="281"/>
      <c r="CAC11" s="282"/>
    </row>
    <row r="12" spans="1:67 2022:2057" ht="16.2" thickBot="1" x14ac:dyDescent="0.35">
      <c r="K12" s="276"/>
      <c r="L12" s="306" t="s">
        <v>25</v>
      </c>
      <c r="M12" s="699" t="str">
        <f>IF(N12="","         klik op dit vlak om tekst in te voeren","")</f>
        <v/>
      </c>
      <c r="N12" s="744" t="s">
        <v>439</v>
      </c>
      <c r="O12" s="164"/>
      <c r="P12" s="164"/>
      <c r="Q12" s="164"/>
      <c r="R12" s="164"/>
      <c r="S12" s="164"/>
      <c r="T12" s="164"/>
      <c r="U12" s="164"/>
      <c r="V12" s="164"/>
      <c r="W12" s="164"/>
      <c r="X12" s="164"/>
      <c r="Y12" s="164"/>
      <c r="Z12" s="164"/>
      <c r="AA12" s="164"/>
      <c r="AB12" s="164"/>
      <c r="AC12" s="164"/>
      <c r="AD12" s="164"/>
      <c r="AE12" s="164"/>
      <c r="AF12" s="164"/>
      <c r="AG12" s="164"/>
      <c r="AH12" s="164"/>
      <c r="AI12" s="164"/>
      <c r="AJ12" s="164"/>
      <c r="AK12" s="164"/>
      <c r="AL12" s="700"/>
      <c r="AM12" s="701"/>
      <c r="AN12" s="690"/>
      <c r="AO12" s="691"/>
      <c r="AP12" s="706"/>
      <c r="BYT12" s="299"/>
      <c r="BYU12" s="782"/>
      <c r="BYV12" s="782"/>
      <c r="BYW12" s="782"/>
      <c r="BYX12" s="782"/>
      <c r="BYY12" s="782"/>
      <c r="BYZ12" s="782"/>
      <c r="BZA12" s="782"/>
      <c r="BZB12" s="782"/>
      <c r="BZC12" s="782"/>
      <c r="BZD12" s="782"/>
      <c r="BZE12" s="782"/>
      <c r="BZF12" s="782"/>
      <c r="BZG12" s="782"/>
      <c r="BZH12" s="782"/>
      <c r="BZI12" s="782"/>
      <c r="BZJ12" s="782"/>
      <c r="BZK12" s="782"/>
      <c r="BZL12" s="782"/>
      <c r="BZM12" s="782"/>
      <c r="BZN12" s="782"/>
      <c r="BZO12" s="782"/>
      <c r="BZP12" s="782"/>
      <c r="BZQ12" s="782"/>
      <c r="BZR12" s="782"/>
      <c r="BZS12" s="782"/>
      <c r="BZT12" s="782"/>
      <c r="BZU12" s="782"/>
      <c r="BZV12" s="782"/>
      <c r="BZW12" s="782"/>
      <c r="BZX12" s="782"/>
      <c r="BZY12" s="782"/>
      <c r="BZZ12" s="784"/>
      <c r="CAA12" s="281"/>
      <c r="CAB12" s="281"/>
      <c r="CAC12" s="282"/>
    </row>
    <row r="13" spans="1:67 2022:2057" ht="14.4" customHeight="1" x14ac:dyDescent="0.3">
      <c r="N13" s="544"/>
      <c r="BYT13" s="299"/>
      <c r="BYU13" s="782"/>
      <c r="BYV13" s="782"/>
      <c r="BYW13" s="782"/>
      <c r="BYX13" s="782"/>
      <c r="BYY13" s="782"/>
      <c r="BYZ13" s="782"/>
      <c r="BZA13" s="782"/>
      <c r="BZB13" s="782"/>
      <c r="BZC13" s="782"/>
      <c r="BZD13" s="782"/>
      <c r="BZE13" s="782"/>
      <c r="BZF13" s="782"/>
      <c r="BZG13" s="782"/>
      <c r="BZH13" s="782"/>
      <c r="BZI13" s="782"/>
      <c r="BZJ13" s="782"/>
      <c r="BZK13" s="782"/>
      <c r="BZL13" s="782"/>
      <c r="BZM13" s="782"/>
      <c r="BZN13" s="782"/>
      <c r="BZO13" s="782"/>
      <c r="BZP13" s="782"/>
      <c r="BZQ13" s="782"/>
      <c r="BZR13" s="782"/>
      <c r="BZS13" s="782"/>
      <c r="BZT13" s="782"/>
      <c r="BZU13" s="782"/>
      <c r="BZV13" s="782"/>
      <c r="BZW13" s="782"/>
      <c r="BZX13" s="782"/>
      <c r="BZY13" s="782"/>
      <c r="BZZ13" s="784"/>
      <c r="CAA13" s="281"/>
      <c r="CAB13" s="281"/>
      <c r="CAC13" s="282"/>
    </row>
    <row r="14" spans="1:67 2022:2057" s="372" customFormat="1" ht="14.4" hidden="1" customHeight="1" x14ac:dyDescent="0.3">
      <c r="J14" s="373"/>
      <c r="L14" s="557"/>
      <c r="M14" s="555"/>
      <c r="N14" s="544" t="s">
        <v>26</v>
      </c>
      <c r="AN14" s="374"/>
      <c r="AP14" s="618"/>
      <c r="BM14" s="375"/>
      <c r="BN14" s="375"/>
      <c r="BO14" s="375"/>
      <c r="BYT14" s="659"/>
      <c r="BYU14" s="785"/>
      <c r="BYV14" s="785"/>
      <c r="BYW14" s="785"/>
      <c r="BYX14" s="785"/>
      <c r="BYY14" s="785"/>
      <c r="BYZ14" s="785"/>
      <c r="BZA14" s="785"/>
      <c r="BZB14" s="785"/>
      <c r="BZC14" s="785"/>
      <c r="BZD14" s="785"/>
      <c r="BZE14" s="785"/>
      <c r="BZF14" s="785"/>
      <c r="BZG14" s="785"/>
      <c r="BZH14" s="785"/>
      <c r="BZI14" s="785"/>
      <c r="BZJ14" s="785"/>
      <c r="BZK14" s="785"/>
      <c r="BZL14" s="785"/>
      <c r="BZM14" s="785"/>
      <c r="BZN14" s="785"/>
      <c r="BZO14" s="785"/>
      <c r="BZP14" s="785"/>
      <c r="BZQ14" s="785"/>
      <c r="BZR14" s="785"/>
      <c r="BZS14" s="785"/>
      <c r="BZT14" s="785"/>
      <c r="BZU14" s="785"/>
      <c r="BZV14" s="785"/>
      <c r="BZW14" s="785"/>
      <c r="BZX14" s="785"/>
      <c r="BZY14" s="785"/>
      <c r="BZZ14" s="786"/>
      <c r="CAA14" s="377"/>
      <c r="CAB14" s="377"/>
      <c r="CAC14" s="378"/>
    </row>
    <row r="15" spans="1:67 2022:2057" ht="14.4" hidden="1" customHeight="1" x14ac:dyDescent="0.3">
      <c r="I15" s="1"/>
      <c r="N15" s="545" t="s">
        <v>27</v>
      </c>
      <c r="V15" s="5"/>
      <c r="W15" t="s">
        <v>28</v>
      </c>
      <c r="AE15" s="111">
        <f t="shared" ref="AE15:AK15" si="0">BZK64</f>
        <v>0</v>
      </c>
      <c r="AF15" s="111">
        <f t="shared" si="0"/>
        <v>1</v>
      </c>
      <c r="AG15" s="111">
        <f t="shared" si="0"/>
        <v>0</v>
      </c>
      <c r="AH15" s="111">
        <f t="shared" si="0"/>
        <v>0</v>
      </c>
      <c r="AI15" s="111">
        <f t="shared" si="0"/>
        <v>0</v>
      </c>
      <c r="AJ15" s="111">
        <f t="shared" si="0"/>
        <v>0</v>
      </c>
      <c r="AK15" s="111">
        <f t="shared" si="0"/>
        <v>0</v>
      </c>
      <c r="BYT15" s="299"/>
      <c r="BYU15" s="782"/>
      <c r="BYV15" s="782"/>
      <c r="BYW15" s="782"/>
      <c r="BYX15" s="782"/>
      <c r="BYY15" s="782">
        <f>BZK64</f>
        <v>0</v>
      </c>
      <c r="BYZ15" s="782">
        <f>BYY15</f>
        <v>0</v>
      </c>
      <c r="BZA15" s="782"/>
      <c r="BZB15" s="782"/>
      <c r="BZC15" s="782">
        <f>BZL64</f>
        <v>1</v>
      </c>
      <c r="BZD15" s="782">
        <f>BZC15</f>
        <v>1</v>
      </c>
      <c r="BZE15" s="782"/>
      <c r="BZF15" s="782"/>
      <c r="BZG15" s="782">
        <f>BZM64</f>
        <v>0</v>
      </c>
      <c r="BZH15" s="782">
        <f>BZG15</f>
        <v>0</v>
      </c>
      <c r="BZI15" s="782"/>
      <c r="BZJ15" s="782"/>
      <c r="BZK15" s="782">
        <f>BZN64</f>
        <v>0</v>
      </c>
      <c r="BZL15" s="782">
        <f>BZK15</f>
        <v>0</v>
      </c>
      <c r="BZM15" s="782"/>
      <c r="BZN15" s="782"/>
      <c r="BZO15" s="782">
        <f>BZO64</f>
        <v>0</v>
      </c>
      <c r="BZP15" s="782">
        <f>BZO15</f>
        <v>0</v>
      </c>
      <c r="BZQ15" s="782"/>
      <c r="BZR15" s="782"/>
      <c r="BZS15" s="782">
        <f>BZP64</f>
        <v>0</v>
      </c>
      <c r="BZT15" s="782">
        <f>BZS15</f>
        <v>0</v>
      </c>
      <c r="BZU15" s="782"/>
      <c r="BZV15" s="782"/>
      <c r="BZW15" s="782">
        <f>BZQ64</f>
        <v>0</v>
      </c>
      <c r="BZX15" s="782">
        <f>BZW15</f>
        <v>0</v>
      </c>
      <c r="BZY15" s="782"/>
      <c r="BZZ15" s="784"/>
      <c r="CAA15" s="281"/>
      <c r="CAB15" s="281"/>
      <c r="CAC15" s="282"/>
    </row>
    <row r="16" spans="1:67 2022:2057" ht="14.4" hidden="1" customHeight="1" x14ac:dyDescent="0.3">
      <c r="A16" s="17" t="s">
        <v>29</v>
      </c>
      <c r="B16" s="12" t="s">
        <v>30</v>
      </c>
      <c r="C16" s="12" t="s">
        <v>31</v>
      </c>
      <c r="D16" s="12" t="s">
        <v>32</v>
      </c>
      <c r="E16" s="12" t="s">
        <v>33</v>
      </c>
      <c r="F16" s="12" t="s">
        <v>34</v>
      </c>
      <c r="G16" s="12" t="s">
        <v>35</v>
      </c>
      <c r="H16" s="12"/>
      <c r="I16" s="12"/>
      <c r="J16" s="12"/>
      <c r="K16" s="4"/>
      <c r="L16" s="4"/>
      <c r="M16" s="4"/>
      <c r="N16" s="545" t="s">
        <v>36</v>
      </c>
      <c r="V16" s="5"/>
      <c r="W16" s="3" t="s">
        <v>29</v>
      </c>
      <c r="X16" s="4" t="s">
        <v>30</v>
      </c>
      <c r="Y16" s="4" t="s">
        <v>31</v>
      </c>
      <c r="Z16" s="4" t="s">
        <v>32</v>
      </c>
      <c r="AA16" s="4" t="s">
        <v>33</v>
      </c>
      <c r="AB16" s="4" t="s">
        <v>34</v>
      </c>
      <c r="AC16" s="4" t="s">
        <v>35</v>
      </c>
      <c r="AD16" s="4" t="s">
        <v>37</v>
      </c>
      <c r="AE16" s="79" t="s">
        <v>38</v>
      </c>
      <c r="AF16" s="2" t="s">
        <v>31</v>
      </c>
      <c r="AG16" s="2" t="s">
        <v>32</v>
      </c>
      <c r="AH16" s="2" t="s">
        <v>33</v>
      </c>
      <c r="AI16" s="2" t="s">
        <v>34</v>
      </c>
      <c r="AJ16" s="2" t="s">
        <v>35</v>
      </c>
      <c r="AK16" s="2" t="s">
        <v>39</v>
      </c>
      <c r="BYT16" s="299"/>
      <c r="BYU16" s="782"/>
      <c r="BYV16" s="782"/>
      <c r="BYW16" s="782"/>
      <c r="BYX16" s="782"/>
      <c r="BYY16" s="782"/>
      <c r="BYZ16" s="782"/>
      <c r="BZA16" s="782"/>
      <c r="BZB16" s="782"/>
      <c r="BZC16" s="782"/>
      <c r="BZD16" s="782"/>
      <c r="BZE16" s="782"/>
      <c r="BZF16" s="782"/>
      <c r="BZG16" s="782"/>
      <c r="BZH16" s="782"/>
      <c r="BZI16" s="782"/>
      <c r="BZJ16" s="782"/>
      <c r="BZK16" s="782"/>
      <c r="BZL16" s="782"/>
      <c r="BZM16" s="782"/>
      <c r="BZN16" s="782"/>
      <c r="BZO16" s="782"/>
      <c r="BZP16" s="782"/>
      <c r="BZQ16" s="782"/>
      <c r="BZR16" s="782"/>
      <c r="BZS16" s="782"/>
      <c r="BZT16" s="782"/>
      <c r="BZU16" s="782"/>
      <c r="BZV16" s="782"/>
      <c r="BZW16" s="782"/>
      <c r="BZX16" s="782"/>
      <c r="BZY16" s="782"/>
      <c r="BZZ16" s="784"/>
      <c r="CAA16" s="281"/>
      <c r="CAB16" s="281"/>
      <c r="CAC16" s="282"/>
    </row>
    <row r="17" spans="1:47 2022:2057" ht="14.4" hidden="1" customHeight="1" x14ac:dyDescent="0.3">
      <c r="A17" s="17"/>
      <c r="B17" s="12"/>
      <c r="C17" s="12"/>
      <c r="D17" s="12"/>
      <c r="E17" s="12"/>
      <c r="F17" s="12"/>
      <c r="G17" s="12"/>
      <c r="H17" s="12"/>
      <c r="I17" s="12"/>
      <c r="J17" s="12"/>
      <c r="K17" s="4"/>
      <c r="L17" s="4"/>
      <c r="M17" s="4"/>
      <c r="N17" s="545" t="s">
        <v>314</v>
      </c>
      <c r="V17" s="5"/>
      <c r="W17" s="3"/>
      <c r="X17" s="4"/>
      <c r="Y17" s="4"/>
      <c r="Z17" s="4"/>
      <c r="AA17" s="4"/>
      <c r="AB17" s="4"/>
      <c r="AC17" s="4"/>
      <c r="AD17" s="4"/>
      <c r="AE17" s="79"/>
      <c r="AF17" s="2"/>
      <c r="AG17" s="2"/>
      <c r="AH17" s="2"/>
      <c r="AI17" s="2"/>
      <c r="AJ17" s="2"/>
      <c r="AK17" s="2"/>
      <c r="BYT17" s="299"/>
      <c r="BYU17" s="782"/>
      <c r="BYV17" s="782"/>
      <c r="BYW17" s="782"/>
      <c r="BYX17" s="782"/>
      <c r="BYY17" s="782"/>
      <c r="BYZ17" s="782"/>
      <c r="BZA17" s="782"/>
      <c r="BZB17" s="782"/>
      <c r="BZC17" s="782"/>
      <c r="BZD17" s="782"/>
      <c r="BZE17" s="782"/>
      <c r="BZF17" s="782"/>
      <c r="BZG17" s="782"/>
      <c r="BZH17" s="782"/>
      <c r="BZI17" s="782"/>
      <c r="BZJ17" s="782"/>
      <c r="BZK17" s="782"/>
      <c r="BZL17" s="782"/>
      <c r="BZM17" s="782"/>
      <c r="BZN17" s="782"/>
      <c r="BZO17" s="782"/>
      <c r="BZP17" s="782"/>
      <c r="BZQ17" s="782"/>
      <c r="BZR17" s="782"/>
      <c r="BZS17" s="782"/>
      <c r="BZT17" s="782"/>
      <c r="BZU17" s="782"/>
      <c r="BZV17" s="782"/>
      <c r="BZW17" s="782"/>
      <c r="BZX17" s="782"/>
      <c r="BZY17" s="782"/>
      <c r="BZZ17" s="784"/>
      <c r="CAA17" s="281"/>
      <c r="CAB17" s="281"/>
      <c r="CAC17" s="282"/>
    </row>
    <row r="18" spans="1:47 2022:2057" ht="14.4" hidden="1" customHeight="1" x14ac:dyDescent="0.3">
      <c r="A18" s="17"/>
      <c r="B18" s="12"/>
      <c r="C18" s="12"/>
      <c r="D18" s="12"/>
      <c r="E18" s="12"/>
      <c r="F18" s="12"/>
      <c r="G18" s="12"/>
      <c r="H18" s="12"/>
      <c r="I18" s="12"/>
      <c r="J18" s="12"/>
      <c r="K18" s="4"/>
      <c r="L18" s="4"/>
      <c r="M18" s="4"/>
      <c r="N18" s="546" t="s">
        <v>40</v>
      </c>
      <c r="V18" s="5"/>
      <c r="W18" s="3"/>
      <c r="X18" s="4"/>
      <c r="Y18" s="4"/>
      <c r="Z18" s="4"/>
      <c r="AA18" s="4"/>
      <c r="AB18" s="4"/>
      <c r="AC18" s="4"/>
      <c r="AD18" s="4"/>
      <c r="AE18" s="79"/>
      <c r="AF18" s="2"/>
      <c r="AG18" s="2"/>
      <c r="AH18" s="2"/>
      <c r="AI18" s="2"/>
      <c r="AJ18" s="2"/>
      <c r="AK18" s="2"/>
      <c r="BYT18" s="299"/>
      <c r="BYU18" s="782"/>
      <c r="BYV18" s="782"/>
      <c r="BYW18" s="782"/>
      <c r="BYX18" s="782"/>
      <c r="BYY18" s="782"/>
      <c r="BYZ18" s="782"/>
      <c r="BZA18" s="782"/>
      <c r="BZB18" s="782"/>
      <c r="BZC18" s="782"/>
      <c r="BZD18" s="782"/>
      <c r="BZE18" s="782"/>
      <c r="BZF18" s="782"/>
      <c r="BZG18" s="782"/>
      <c r="BZH18" s="782"/>
      <c r="BZI18" s="782"/>
      <c r="BZJ18" s="782"/>
      <c r="BZK18" s="782"/>
      <c r="BZL18" s="782"/>
      <c r="BZM18" s="782"/>
      <c r="BZN18" s="782"/>
      <c r="BZO18" s="782"/>
      <c r="BZP18" s="782"/>
      <c r="BZQ18" s="782"/>
      <c r="BZR18" s="782"/>
      <c r="BZS18" s="782"/>
      <c r="BZT18" s="782"/>
      <c r="BZU18" s="782"/>
      <c r="BZV18" s="782"/>
      <c r="BZW18" s="782"/>
      <c r="BZX18" s="782"/>
      <c r="BZY18" s="782"/>
      <c r="BZZ18" s="784"/>
      <c r="CAA18" s="281"/>
      <c r="CAB18" s="281"/>
      <c r="CAC18" s="282"/>
    </row>
    <row r="19" spans="1:47 2022:2057" ht="14.4" hidden="1" customHeight="1" x14ac:dyDescent="0.35">
      <c r="A19" s="17"/>
      <c r="B19" s="12"/>
      <c r="C19" s="12"/>
      <c r="D19" s="12"/>
      <c r="E19" s="12"/>
      <c r="F19" s="12"/>
      <c r="G19" s="12"/>
      <c r="H19" s="12"/>
      <c r="I19" s="12"/>
      <c r="J19" s="235" t="e">
        <f>BZJ53</f>
        <v>#N/A</v>
      </c>
      <c r="K19" s="4"/>
      <c r="L19" s="4"/>
      <c r="M19" s="4"/>
      <c r="N19" s="545" t="s">
        <v>41</v>
      </c>
      <c r="V19" s="5"/>
      <c r="W19" s="3"/>
      <c r="X19" s="4"/>
      <c r="Y19" s="4"/>
      <c r="Z19" s="4"/>
      <c r="AA19" s="4"/>
      <c r="AB19" s="4"/>
      <c r="AC19" s="4"/>
      <c r="AD19" s="4"/>
      <c r="AE19" s="79"/>
      <c r="AF19" s="2"/>
      <c r="AG19" s="2"/>
      <c r="AH19" s="2"/>
      <c r="AI19" s="2"/>
      <c r="AJ19" s="2"/>
      <c r="AK19" s="2"/>
      <c r="AN19" s="17">
        <v>0</v>
      </c>
      <c r="AO19" s="1"/>
      <c r="AP19" s="619">
        <v>100</v>
      </c>
      <c r="BYT19" s="299"/>
      <c r="BYU19" s="782"/>
      <c r="BYV19" s="782"/>
      <c r="BYW19" s="782"/>
      <c r="BYX19" s="782"/>
      <c r="BYY19" s="782"/>
      <c r="BYZ19" s="782"/>
      <c r="BZA19" s="782"/>
      <c r="BZB19" s="782"/>
      <c r="BZC19" s="782"/>
      <c r="BZD19" s="782"/>
      <c r="BZE19" s="782"/>
      <c r="BZF19" s="782"/>
      <c r="BZG19" s="782"/>
      <c r="BZH19" s="782"/>
      <c r="BZI19" s="782"/>
      <c r="BZJ19" s="782"/>
      <c r="BZK19" s="782"/>
      <c r="BZL19" s="782"/>
      <c r="BZM19" s="782"/>
      <c r="BZN19" s="782"/>
      <c r="BZO19" s="782"/>
      <c r="BZP19" s="782"/>
      <c r="BZQ19" s="782"/>
      <c r="BZR19" s="782"/>
      <c r="BZS19" s="782"/>
      <c r="BZT19" s="782"/>
      <c r="BZU19" s="782"/>
      <c r="BZV19" s="782"/>
      <c r="BZW19" s="782"/>
      <c r="BZX19" s="782"/>
      <c r="BZY19" s="782"/>
      <c r="BZZ19" s="784"/>
      <c r="CAA19" s="281"/>
      <c r="CAB19" s="281"/>
      <c r="CAC19" s="282"/>
    </row>
    <row r="20" spans="1:47 2022:2057" hidden="1" x14ac:dyDescent="0.3">
      <c r="A20" s="298"/>
      <c r="B20" s="299"/>
      <c r="C20" s="299"/>
      <c r="D20" s="299"/>
      <c r="E20" s="299"/>
      <c r="F20" s="299"/>
      <c r="G20" s="299"/>
      <c r="H20" s="299"/>
      <c r="I20" s="299"/>
      <c r="J20" s="232" t="str">
        <f>'print Basis'!$G$10&amp;" "&amp;'print Basis'!G8</f>
        <v>invoer Basis Projectnaam</v>
      </c>
      <c r="K20" s="4"/>
      <c r="L20" s="4"/>
      <c r="M20" s="4"/>
      <c r="N20" s="547" t="s">
        <v>42</v>
      </c>
      <c r="V20" s="5"/>
      <c r="W20" s="3"/>
      <c r="X20" s="110">
        <f t="shared" ref="X20:AD20" si="1">BZK64</f>
        <v>0</v>
      </c>
      <c r="Y20" s="110">
        <f t="shared" si="1"/>
        <v>1</v>
      </c>
      <c r="Z20" s="110">
        <f t="shared" si="1"/>
        <v>0</v>
      </c>
      <c r="AA20" s="110">
        <f t="shared" si="1"/>
        <v>0</v>
      </c>
      <c r="AB20" s="110">
        <f t="shared" si="1"/>
        <v>0</v>
      </c>
      <c r="AC20" s="110">
        <f t="shared" si="1"/>
        <v>0</v>
      </c>
      <c r="AD20" s="110">
        <f t="shared" si="1"/>
        <v>0</v>
      </c>
      <c r="AE20" s="79" t="s">
        <v>43</v>
      </c>
      <c r="AF20" s="2"/>
      <c r="AG20" s="2"/>
      <c r="AH20" s="2"/>
      <c r="AI20" s="2"/>
      <c r="AJ20" s="2"/>
      <c r="BYT20" s="299"/>
      <c r="BYU20" s="782"/>
      <c r="BYV20" s="782"/>
      <c r="BYW20" s="782"/>
      <c r="BYX20" s="782"/>
      <c r="BYY20" s="782"/>
      <c r="BYZ20" s="782"/>
      <c r="BZA20" s="782"/>
      <c r="BZB20" s="782"/>
      <c r="BZC20" s="782"/>
      <c r="BZD20" s="782"/>
      <c r="BZE20" s="782"/>
      <c r="BZF20" s="782"/>
      <c r="BZG20" s="782"/>
      <c r="BZH20" s="782"/>
      <c r="BZI20" s="782"/>
      <c r="BZJ20" s="782"/>
      <c r="BZK20" s="782"/>
      <c r="BZL20" s="782"/>
      <c r="BZM20" s="782"/>
      <c r="BZN20" s="782"/>
      <c r="BZO20" s="782"/>
      <c r="BZP20" s="782"/>
      <c r="BZQ20" s="782"/>
      <c r="BZR20" s="782"/>
      <c r="BZS20" s="782"/>
      <c r="BZT20" s="782"/>
      <c r="BZU20" s="782"/>
      <c r="BZV20" s="782"/>
      <c r="BZW20" s="782"/>
      <c r="BZX20" s="782"/>
      <c r="BZY20" s="782"/>
      <c r="BZZ20" s="784"/>
      <c r="CAA20" s="281"/>
      <c r="CAB20" s="281"/>
      <c r="CAC20" s="282"/>
    </row>
    <row r="21" spans="1:47 2022:2057" ht="25.8" x14ac:dyDescent="0.5">
      <c r="A21" s="299"/>
      <c r="B21" s="300">
        <f>SUM(B41,B38,B36,B34,B31,B27,B25,B23)</f>
        <v>1</v>
      </c>
      <c r="C21" s="300">
        <f t="shared" ref="C21:G21" si="2">SUM(C41,C38,C36,C34,C31,C27,C25,C23)</f>
        <v>1</v>
      </c>
      <c r="D21" s="300">
        <f t="shared" si="2"/>
        <v>1</v>
      </c>
      <c r="E21" s="300">
        <f t="shared" si="2"/>
        <v>1</v>
      </c>
      <c r="F21" s="300">
        <f t="shared" si="2"/>
        <v>1</v>
      </c>
      <c r="G21" s="300">
        <f t="shared" si="2"/>
        <v>1</v>
      </c>
      <c r="H21" s="300"/>
      <c r="I21" s="300"/>
      <c r="J21" s="13"/>
      <c r="K21" s="564"/>
      <c r="L21" s="565" t="str">
        <f>'print Basis'!G8</f>
        <v>Projectnaam</v>
      </c>
      <c r="M21" s="565"/>
      <c r="N21" s="566" t="str">
        <f>"Gerealiseerd circulair doel per ontwerpprincipe in de " &amp; N8</f>
        <v>Gerealiseerd circulair doel per ontwerpprincipe in de verkenningsfase</v>
      </c>
      <c r="O21" s="567"/>
      <c r="P21" s="567"/>
      <c r="Q21" s="567"/>
      <c r="R21" s="567"/>
      <c r="S21" s="567"/>
      <c r="T21" s="567"/>
      <c r="U21" s="567"/>
      <c r="V21" s="568"/>
      <c r="W21" s="569"/>
      <c r="X21" s="570">
        <f>SUM(X41,X38,X36,X34,X31,X27,X25,X23)</f>
        <v>1</v>
      </c>
      <c r="Y21" s="570">
        <f t="shared" ref="Y21:AC21" si="3">SUM(Y41,Y38,Y36,Y34,Y31,Y27,Y25,Y23)</f>
        <v>1.0000000000000002</v>
      </c>
      <c r="Z21" s="570">
        <f t="shared" si="3"/>
        <v>1</v>
      </c>
      <c r="AA21" s="570">
        <f t="shared" si="3"/>
        <v>1</v>
      </c>
      <c r="AB21" s="570">
        <f t="shared" si="3"/>
        <v>1.0000000000000002</v>
      </c>
      <c r="AC21" s="570">
        <f t="shared" si="3"/>
        <v>1</v>
      </c>
      <c r="AD21" s="570">
        <f t="shared" ref="AD21" si="4">SUM(AD41,AD38,AD36,AD34,AD31,AD27,AD25,AD23)</f>
        <v>1</v>
      </c>
      <c r="AE21" s="571">
        <v>100</v>
      </c>
      <c r="AF21" s="572"/>
      <c r="AG21" s="572"/>
      <c r="AH21" s="572"/>
      <c r="AI21" s="572"/>
      <c r="AJ21" s="572"/>
      <c r="AK21" s="572"/>
      <c r="AL21" s="573" t="str">
        <f>'print Basis'!G10</f>
        <v>invoer Basis</v>
      </c>
      <c r="AM21" s="567"/>
      <c r="AN21" s="574" t="s">
        <v>44</v>
      </c>
      <c r="AO21" s="645" t="e">
        <f>1-AP21</f>
        <v>#VALUE!</v>
      </c>
      <c r="AP21" s="775" t="str">
        <f>IF(M22=12,SUM(AP23:AP42)+AP44,"-")</f>
        <v>-</v>
      </c>
      <c r="AR21" s="646" t="s">
        <v>318</v>
      </c>
      <c r="BYT21" s="299"/>
      <c r="BYU21" s="782"/>
      <c r="BYV21" s="782"/>
      <c r="BYW21" s="782"/>
      <c r="BYX21" s="782"/>
      <c r="BYY21" s="782"/>
      <c r="BYZ21" s="782"/>
      <c r="BZA21" s="782"/>
      <c r="BZB21" s="782"/>
      <c r="BZC21" s="782"/>
      <c r="BZD21" s="782"/>
      <c r="BZE21" s="782"/>
      <c r="BZF21" s="782"/>
      <c r="BZG21" s="782"/>
      <c r="BZH21" s="782"/>
      <c r="BZI21" s="782"/>
      <c r="BZJ21" s="782"/>
      <c r="BZK21" s="782"/>
      <c r="BZL21" s="782"/>
      <c r="BZM21" s="782"/>
      <c r="BZN21" s="782"/>
      <c r="BZO21" s="782"/>
      <c r="BZP21" s="782"/>
      <c r="BZQ21" s="782"/>
      <c r="BZR21" s="782"/>
      <c r="BZS21" s="782"/>
      <c r="BZT21" s="782"/>
      <c r="BZU21" s="782"/>
      <c r="BZV21" s="782"/>
      <c r="BZW21" s="782"/>
      <c r="BZX21" s="782"/>
      <c r="BZY21" s="782"/>
      <c r="BZZ21" s="784"/>
      <c r="CAA21" s="281"/>
      <c r="CAB21" s="281"/>
      <c r="CAC21" s="282"/>
    </row>
    <row r="22" spans="1:47 2022:2057" ht="49.2" customHeight="1" x14ac:dyDescent="0.55000000000000004">
      <c r="A22" s="12"/>
      <c r="B22" s="14">
        <f>(1/8)*SUM(B24,B26,B28,B29,B30,B32,B33,B35,B37,B39,B40,B42)</f>
        <v>1</v>
      </c>
      <c r="C22" s="14">
        <f t="shared" ref="C22:G22" si="5">(1/8)*SUM(C24,C26,C28,C29,C30,C32,C33,C35,C37,C39,C40,C42)</f>
        <v>1</v>
      </c>
      <c r="D22" s="14">
        <f t="shared" si="5"/>
        <v>1</v>
      </c>
      <c r="E22" s="14">
        <f t="shared" si="5"/>
        <v>1</v>
      </c>
      <c r="F22" s="14">
        <f t="shared" si="5"/>
        <v>1</v>
      </c>
      <c r="G22" s="14">
        <f t="shared" si="5"/>
        <v>1</v>
      </c>
      <c r="H22" s="14"/>
      <c r="I22" s="14"/>
      <c r="J22" s="14"/>
      <c r="K22" s="575"/>
      <c r="L22" s="576" t="s">
        <v>45</v>
      </c>
      <c r="M22" s="748">
        <f>COUNTA(N24,N26,N28,N29,N30,N32,N33,N35,N37,N39,N40,N42)</f>
        <v>0</v>
      </c>
      <c r="N22" s="577"/>
      <c r="O22" s="167"/>
      <c r="P22" s="167"/>
      <c r="Q22" s="167"/>
      <c r="R22" s="167"/>
      <c r="S22" s="167"/>
      <c r="T22" s="167"/>
      <c r="U22" s="167"/>
      <c r="V22" s="578"/>
      <c r="W22" s="579"/>
      <c r="X22" s="580">
        <f>(1/8)*SUM(X24,X26,X28,X29,X30,X32,X33,X35,X37,X39,X40,X42)</f>
        <v>1</v>
      </c>
      <c r="Y22" s="580">
        <f t="shared" ref="Y22:AC22" si="6">(1/8)*SUM(Y24,Y26,Y28,Y29,Y30,Y32,Y33,Y35,Y37,Y39,Y40,Y42)</f>
        <v>1</v>
      </c>
      <c r="Z22" s="580">
        <f t="shared" si="6"/>
        <v>1</v>
      </c>
      <c r="AA22" s="580">
        <f t="shared" si="6"/>
        <v>1</v>
      </c>
      <c r="AB22" s="580">
        <f t="shared" si="6"/>
        <v>1</v>
      </c>
      <c r="AC22" s="580">
        <f t="shared" si="6"/>
        <v>1</v>
      </c>
      <c r="AD22" s="580">
        <f t="shared" ref="AD22" si="7">(1/8)*SUM(AD24,AD26,AD28,AD29,AD30,AD32,AD33,AD35,AD37,AD39,AD40,AD42)</f>
        <v>1</v>
      </c>
      <c r="AE22" s="581">
        <v>0</v>
      </c>
      <c r="AF22" s="582">
        <v>25</v>
      </c>
      <c r="AG22" s="582">
        <v>50</v>
      </c>
      <c r="AH22" s="582">
        <v>75</v>
      </c>
      <c r="AI22" s="582">
        <v>100</v>
      </c>
      <c r="AJ22" s="583"/>
      <c r="AK22" s="583"/>
      <c r="AL22" s="584" t="s">
        <v>46</v>
      </c>
      <c r="AM22" s="167"/>
      <c r="AN22" s="585" t="s">
        <v>47</v>
      </c>
      <c r="AO22" s="167"/>
      <c r="AP22" s="620" t="s">
        <v>48</v>
      </c>
      <c r="BYT22" s="299"/>
      <c r="BYU22" s="782"/>
      <c r="BYV22" s="782"/>
      <c r="BYW22" s="782"/>
      <c r="BYX22" s="782"/>
      <c r="BYY22" s="782"/>
      <c r="BYZ22" s="782"/>
      <c r="BZA22" s="782"/>
      <c r="BZB22" s="782"/>
      <c r="BZC22" s="782"/>
      <c r="BZD22" s="782"/>
      <c r="BZE22" s="782"/>
      <c r="BZF22" s="782"/>
      <c r="BZG22" s="782"/>
      <c r="BZH22" s="782"/>
      <c r="BZI22" s="782"/>
      <c r="BZJ22" s="782"/>
      <c r="BZK22" s="782"/>
      <c r="BZL22" s="782"/>
      <c r="BZM22" s="782"/>
      <c r="BZN22" s="782"/>
      <c r="BZO22" s="782"/>
      <c r="BZP22" s="782"/>
      <c r="BZQ22" s="782"/>
      <c r="BZR22" s="782"/>
      <c r="BZS22" s="782"/>
      <c r="BZT22" s="782"/>
      <c r="BZU22" s="782"/>
      <c r="BZV22" s="782"/>
      <c r="BZW22" s="782"/>
      <c r="BZX22" s="782"/>
      <c r="BZY22" s="782"/>
      <c r="BZZ22" s="784"/>
      <c r="CAA22" s="281"/>
      <c r="CAB22" s="281" t="e">
        <f>BZJ53</f>
        <v>#N/A</v>
      </c>
      <c r="CAC22" s="282"/>
    </row>
    <row r="23" spans="1:47 2022:2057" ht="21" customHeight="1" x14ac:dyDescent="0.4">
      <c r="A23" s="12"/>
      <c r="B23" s="15">
        <v>0.2</v>
      </c>
      <c r="C23" s="15">
        <v>0.15</v>
      </c>
      <c r="D23" s="15">
        <v>0.15</v>
      </c>
      <c r="E23" s="15">
        <v>0.15</v>
      </c>
      <c r="F23" s="15">
        <v>0.05</v>
      </c>
      <c r="G23" s="15">
        <v>0.01</v>
      </c>
      <c r="H23" s="15"/>
      <c r="I23" s="15"/>
      <c r="J23" s="15"/>
      <c r="K23" s="558">
        <v>1</v>
      </c>
      <c r="L23" s="559" t="s">
        <v>49</v>
      </c>
      <c r="M23" s="560"/>
      <c r="N23" s="561"/>
      <c r="O23" s="20"/>
      <c r="P23" s="20"/>
      <c r="Q23" s="20"/>
      <c r="R23" s="20"/>
      <c r="S23" s="20"/>
      <c r="T23" s="20"/>
      <c r="U23" s="20">
        <v>1</v>
      </c>
      <c r="V23" s="128"/>
      <c r="W23" s="7">
        <f t="shared" ref="W23:W42" si="8">X23*$X$20+Y23*$Y$20+Z23*$Z$20+AA23*$AA$20+AB23*$AB$20+AC23*$AC$20+AD23*$AD$20</f>
        <v>0.27</v>
      </c>
      <c r="X23" s="21">
        <f>'info weging'!B8</f>
        <v>0.3</v>
      </c>
      <c r="Y23" s="21">
        <f>'info weging'!C8</f>
        <v>0.27</v>
      </c>
      <c r="Z23" s="21">
        <f>'info weging'!D8</f>
        <v>0.15</v>
      </c>
      <c r="AA23" s="21">
        <f>'info weging'!E8</f>
        <v>0.15</v>
      </c>
      <c r="AB23" s="21">
        <f>'info weging'!F8</f>
        <v>0.05</v>
      </c>
      <c r="AC23" s="21">
        <f>'info weging'!G8</f>
        <v>0.01</v>
      </c>
      <c r="AD23" s="21">
        <f>'info weging'!H8</f>
        <v>0.125</v>
      </c>
      <c r="AE23" s="104"/>
      <c r="AF23" s="58"/>
      <c r="AG23" s="58"/>
      <c r="AH23" s="58"/>
      <c r="AI23" s="58"/>
      <c r="AJ23" s="59"/>
      <c r="AK23" s="59"/>
      <c r="AL23" s="562"/>
      <c r="AM23" s="20"/>
      <c r="AN23" s="201">
        <f>'print Basis'!P18</f>
        <v>0.27</v>
      </c>
      <c r="AO23" s="20"/>
      <c r="AP23" s="621" t="e">
        <f>'print Basis'!Q18</f>
        <v>#VALUE!</v>
      </c>
      <c r="AR23" s="20"/>
      <c r="BYT23" s="299"/>
      <c r="BYU23" s="782"/>
      <c r="BYV23" s="782"/>
      <c r="BYW23" s="782"/>
      <c r="BYX23" s="782" t="s">
        <v>50</v>
      </c>
      <c r="BYY23" s="782" t="e">
        <f>"berekening CP="&amp;N49</f>
        <v>#N/A</v>
      </c>
      <c r="BYZ23" s="782" t="s">
        <v>51</v>
      </c>
      <c r="BZA23" s="782"/>
      <c r="BZB23" s="782" t="s">
        <v>31</v>
      </c>
      <c r="BZC23" s="782" t="s">
        <v>52</v>
      </c>
      <c r="BZD23" s="782" t="s">
        <v>53</v>
      </c>
      <c r="BZE23" s="782"/>
      <c r="BZF23" s="782" t="s">
        <v>32</v>
      </c>
      <c r="BZG23" s="782" t="s">
        <v>52</v>
      </c>
      <c r="BZH23" s="782" t="s">
        <v>54</v>
      </c>
      <c r="BZI23" s="782"/>
      <c r="BZJ23" s="782" t="s">
        <v>33</v>
      </c>
      <c r="BZK23" s="782" t="s">
        <v>52</v>
      </c>
      <c r="BZL23" s="782" t="s">
        <v>55</v>
      </c>
      <c r="BZM23" s="782"/>
      <c r="BZN23" s="782" t="s">
        <v>34</v>
      </c>
      <c r="BZO23" s="782" t="s">
        <v>52</v>
      </c>
      <c r="BZP23" s="782" t="s">
        <v>56</v>
      </c>
      <c r="BZQ23" s="782"/>
      <c r="BZR23" s="782" t="s">
        <v>35</v>
      </c>
      <c r="BZS23" s="782" t="s">
        <v>52</v>
      </c>
      <c r="BZT23" s="782" t="s">
        <v>57</v>
      </c>
      <c r="BZU23" s="782"/>
      <c r="BZV23" s="782" t="str">
        <f>AK16</f>
        <v>eigen waarde</v>
      </c>
      <c r="BZW23" s="782" t="s">
        <v>52</v>
      </c>
      <c r="BZX23" s="782" t="s">
        <v>58</v>
      </c>
      <c r="BZY23" s="782"/>
      <c r="BZZ23" s="784"/>
      <c r="CAA23" s="281"/>
      <c r="CAB23" s="281" t="str">
        <f>N7</f>
        <v>invoer Basis</v>
      </c>
      <c r="CAC23" s="282" t="s">
        <v>59</v>
      </c>
    </row>
    <row r="24" spans="1:47 2022:2057" ht="88.2" customHeight="1" x14ac:dyDescent="0.4">
      <c r="A24" s="12"/>
      <c r="B24" s="16">
        <v>1</v>
      </c>
      <c r="C24" s="16">
        <v>1</v>
      </c>
      <c r="D24" s="16">
        <v>1</v>
      </c>
      <c r="E24" s="16">
        <v>1</v>
      </c>
      <c r="F24" s="16">
        <v>1</v>
      </c>
      <c r="G24" s="16">
        <v>1</v>
      </c>
      <c r="H24" s="16"/>
      <c r="I24" s="16"/>
      <c r="J24" s="16"/>
      <c r="K24" s="452" t="s">
        <v>60</v>
      </c>
      <c r="L24" s="549" t="s">
        <v>61</v>
      </c>
      <c r="M24" s="551" t="str">
        <f>IF(N24="","         klik hier op linkermuisknop + selecteer via het pull down menu het gerealiseerd circulaire doel","")</f>
        <v xml:space="preserve">         klik hier op linkermuisknop + selecteer via het pull down menu het gerealiseerd circulaire doel</v>
      </c>
      <c r="N24" s="210"/>
      <c r="O24" s="20"/>
      <c r="P24" s="20"/>
      <c r="Q24" s="20"/>
      <c r="R24" s="20"/>
      <c r="S24" s="20"/>
      <c r="T24" s="20"/>
      <c r="U24" s="20"/>
      <c r="V24" s="128"/>
      <c r="W24" s="7">
        <f t="shared" si="8"/>
        <v>1</v>
      </c>
      <c r="X24" s="24">
        <f>'info weging'!B9</f>
        <v>1</v>
      </c>
      <c r="Y24" s="24">
        <f>'info weging'!C9</f>
        <v>1</v>
      </c>
      <c r="Z24" s="24">
        <f>'info weging'!D9</f>
        <v>1</v>
      </c>
      <c r="AA24" s="24">
        <f>'info weging'!E9</f>
        <v>1</v>
      </c>
      <c r="AB24" s="24">
        <f>'info weging'!F9</f>
        <v>1</v>
      </c>
      <c r="AC24" s="25">
        <f>'info weging'!G9</f>
        <v>1</v>
      </c>
      <c r="AD24" s="25">
        <f>'info weging'!H9</f>
        <v>1</v>
      </c>
      <c r="AE24" s="97" t="e">
        <f>VLOOKUP(N24,'info weging'!$A$36:$H$163,2,FALSE)</f>
        <v>#N/A</v>
      </c>
      <c r="AF24" s="8" t="e">
        <f>VLOOKUP(N24,'info weging'!$A$36:$H$163,3,FALSE)</f>
        <v>#N/A</v>
      </c>
      <c r="AG24" s="8" t="e">
        <f>VLOOKUP(N24,'info weging'!$A$36:$H$163,4,FALSE)</f>
        <v>#N/A</v>
      </c>
      <c r="AH24" s="8" t="e">
        <f>VLOOKUP(N24,'info weging'!$A$36:$H$163,5,FALSE)</f>
        <v>#N/A</v>
      </c>
      <c r="AI24" s="8" t="e">
        <f>VLOOKUP(N24,'info weging'!$A$36:$H$163,6,FALSE)</f>
        <v>#N/A</v>
      </c>
      <c r="AJ24" s="9" t="e">
        <f>VLOOKUP(N24,'info weging'!$A$36:$H$163,7,FALSE)</f>
        <v>#N/A</v>
      </c>
      <c r="AK24" s="9" t="e">
        <f>VLOOKUP(N24,'info weging'!$A$36:$H$163,8,FALSE)</f>
        <v>#N/A</v>
      </c>
      <c r="AL24" s="260" t="str">
        <f>IF(COUNTA(N24)=1,AE24*$AE$15+AF24*$AF$15+AG24*$AG$15+AH24*$AH$15+AI24*$AI$15+AJ24*$AJ$15+AK24*$AK$15,"----")</f>
        <v>----</v>
      </c>
      <c r="AM24" s="128"/>
      <c r="AN24" s="127">
        <f>'print Basis'!P19</f>
        <v>1</v>
      </c>
      <c r="AO24" s="128"/>
      <c r="AP24" s="622"/>
      <c r="AQ24" s="5"/>
      <c r="AR24" s="778"/>
      <c r="AS24" s="20"/>
      <c r="AT24" s="20"/>
      <c r="AU24" s="20"/>
      <c r="BYT24" s="299"/>
      <c r="BYU24" s="782"/>
      <c r="BYV24" s="787" t="s">
        <v>63</v>
      </c>
      <c r="BYW24" s="788" t="s">
        <v>60</v>
      </c>
      <c r="BYX24" s="788" t="s">
        <v>64</v>
      </c>
      <c r="BYY24" s="789" t="e">
        <f>AE24*X23*X24</f>
        <v>#N/A</v>
      </c>
      <c r="BYZ24" s="789">
        <f>100*X24*X23</f>
        <v>30</v>
      </c>
      <c r="BZA24" s="790"/>
      <c r="BZB24" s="788" t="s">
        <v>64</v>
      </c>
      <c r="BZC24" s="789" t="e">
        <f>AF24*Y23*Y24</f>
        <v>#N/A</v>
      </c>
      <c r="BZD24" s="789">
        <f>100*Y24*Y23</f>
        <v>27</v>
      </c>
      <c r="BZE24" s="790"/>
      <c r="BZF24" s="788" t="s">
        <v>64</v>
      </c>
      <c r="BZG24" s="789" t="e">
        <f>AG24*Z23*Z24</f>
        <v>#N/A</v>
      </c>
      <c r="BZH24" s="789">
        <f>100*Z24*Z23</f>
        <v>15</v>
      </c>
      <c r="BZI24" s="790"/>
      <c r="BZJ24" s="788" t="s">
        <v>64</v>
      </c>
      <c r="BZK24" s="789" t="e">
        <f>AH24*AA23*AA24</f>
        <v>#N/A</v>
      </c>
      <c r="BZL24" s="789">
        <f>100*AA24*AA23</f>
        <v>15</v>
      </c>
      <c r="BZM24" s="790"/>
      <c r="BZN24" s="788" t="s">
        <v>64</v>
      </c>
      <c r="BZO24" s="789" t="e">
        <f>AI24*AB23*AB24</f>
        <v>#N/A</v>
      </c>
      <c r="BZP24" s="789">
        <f>100*G24*G23</f>
        <v>1</v>
      </c>
      <c r="BZQ24" s="790"/>
      <c r="BZR24" s="788" t="s">
        <v>64</v>
      </c>
      <c r="BZS24" s="788" t="e">
        <f>AJ24*AC23*AC24</f>
        <v>#N/A</v>
      </c>
      <c r="BZT24" s="788">
        <f>100*AC24*AC23</f>
        <v>1</v>
      </c>
      <c r="BZU24" s="782"/>
      <c r="BZV24" s="788" t="s">
        <v>64</v>
      </c>
      <c r="BZW24" s="788" t="e">
        <f>AK24*AD24*AD23</f>
        <v>#N/A</v>
      </c>
      <c r="BZX24" s="788">
        <f>100*AD24*AD23</f>
        <v>12.5</v>
      </c>
      <c r="BZY24" s="782"/>
      <c r="BZZ24" s="784"/>
      <c r="CAA24" s="281" t="str">
        <f>BZV24</f>
        <v>verklein opgave</v>
      </c>
      <c r="CAB24" s="283" t="e">
        <f t="shared" ref="CAB24:CAB35" si="9">BYY24*$BYY$15+BZC24*$BZC$15+BZG24*$BZG$15+BZK24*$BZK$15+BZO24*$BZO$15+BZS24*$BZS$15+BZW24*$BZW$15</f>
        <v>#N/A</v>
      </c>
      <c r="CAC24" s="284">
        <f t="shared" ref="CAC24:CAC35" si="10">BYZ24*$BYY$15+BZD24*$BZC$15+BZH24*$BZG$15+BZL24*$BZK$15+BZP24*$BZO$15+BZT24*$BZS$15+BZX24*$BZW$15</f>
        <v>27</v>
      </c>
    </row>
    <row r="25" spans="1:47 2022:2057" ht="21" customHeight="1" x14ac:dyDescent="0.4">
      <c r="A25" s="12"/>
      <c r="B25" s="15">
        <v>0.17</v>
      </c>
      <c r="C25" s="15">
        <v>0.15</v>
      </c>
      <c r="D25" s="15">
        <v>0.15</v>
      </c>
      <c r="E25" s="15">
        <v>0.12</v>
      </c>
      <c r="F25" s="15">
        <v>0.125</v>
      </c>
      <c r="G25" s="15">
        <v>0.2</v>
      </c>
      <c r="H25" s="15"/>
      <c r="I25" s="15"/>
      <c r="J25" s="15"/>
      <c r="K25" s="89">
        <v>2</v>
      </c>
      <c r="L25" s="95" t="s">
        <v>65</v>
      </c>
      <c r="M25" s="91"/>
      <c r="N25" s="238"/>
      <c r="O25" s="20"/>
      <c r="P25" s="20"/>
      <c r="Q25" s="20"/>
      <c r="R25" s="20"/>
      <c r="S25" s="20"/>
      <c r="T25" s="20"/>
      <c r="U25" s="20">
        <v>2</v>
      </c>
      <c r="V25" s="128"/>
      <c r="W25" s="7">
        <f t="shared" si="8"/>
        <v>7.0000000000000007E-2</v>
      </c>
      <c r="X25" s="22">
        <f>'info weging'!B10</f>
        <v>0.25</v>
      </c>
      <c r="Y25" s="22">
        <f>'info weging'!C10</f>
        <v>7.0000000000000007E-2</v>
      </c>
      <c r="Z25" s="22">
        <f>'info weging'!D10</f>
        <v>7.0000000000000007E-2</v>
      </c>
      <c r="AA25" s="22">
        <f>'info weging'!E10</f>
        <v>0.05</v>
      </c>
      <c r="AB25" s="22">
        <f>'info weging'!F10</f>
        <v>0.05</v>
      </c>
      <c r="AC25" s="23">
        <f>'info weging'!G10</f>
        <v>0.25</v>
      </c>
      <c r="AD25" s="23">
        <f>'info weging'!H10</f>
        <v>0.125</v>
      </c>
      <c r="AE25" s="90"/>
      <c r="AF25" s="60"/>
      <c r="AG25" s="60"/>
      <c r="AH25" s="60"/>
      <c r="AI25" s="60"/>
      <c r="AJ25" s="61"/>
      <c r="AK25" s="61"/>
      <c r="AL25" s="117"/>
      <c r="AM25" s="128"/>
      <c r="AN25" s="201">
        <f>'print Basis'!P20</f>
        <v>7.0000000000000007E-2</v>
      </c>
      <c r="AO25" s="128"/>
      <c r="AP25" s="621" t="e">
        <f>'print Basis'!Q20</f>
        <v>#VALUE!</v>
      </c>
      <c r="AQ25" s="5"/>
      <c r="AR25" s="779"/>
      <c r="AS25" s="20"/>
      <c r="AT25" s="20"/>
      <c r="AU25" s="20"/>
      <c r="BYT25" s="299"/>
      <c r="BYU25" s="782"/>
      <c r="BYV25" s="787" t="s">
        <v>66</v>
      </c>
      <c r="BYW25" s="788" t="s">
        <v>60</v>
      </c>
      <c r="BYX25" s="788" t="s">
        <v>67</v>
      </c>
      <c r="BYY25" s="789" t="e">
        <f>AE26*X26*X25</f>
        <v>#N/A</v>
      </c>
      <c r="BYZ25" s="789">
        <f>100*X26*X25</f>
        <v>25</v>
      </c>
      <c r="BZA25" s="790"/>
      <c r="BZB25" s="788" t="s">
        <v>67</v>
      </c>
      <c r="BZC25" s="789" t="e">
        <f>AF26*Y26*Y25</f>
        <v>#N/A</v>
      </c>
      <c r="BZD25" s="789">
        <f>100*Y26*Y25</f>
        <v>7.0000000000000009</v>
      </c>
      <c r="BZE25" s="790"/>
      <c r="BZF25" s="788" t="s">
        <v>67</v>
      </c>
      <c r="BZG25" s="789" t="e">
        <f>AG26*Z26*Z25</f>
        <v>#N/A</v>
      </c>
      <c r="BZH25" s="789">
        <f>100*Z26*Z25</f>
        <v>7.0000000000000009</v>
      </c>
      <c r="BZI25" s="790"/>
      <c r="BZJ25" s="788" t="s">
        <v>67</v>
      </c>
      <c r="BZK25" s="789" t="e">
        <f>AH26*AA26*AA25</f>
        <v>#N/A</v>
      </c>
      <c r="BZL25" s="789">
        <f>100*AA26*AA25</f>
        <v>5</v>
      </c>
      <c r="BZM25" s="790"/>
      <c r="BZN25" s="788" t="s">
        <v>67</v>
      </c>
      <c r="BZO25" s="789" t="e">
        <f>AI26*AB26*AB25</f>
        <v>#N/A</v>
      </c>
      <c r="BZP25" s="789">
        <f>100*G26*G25</f>
        <v>20</v>
      </c>
      <c r="BZQ25" s="790"/>
      <c r="BZR25" s="788" t="s">
        <v>67</v>
      </c>
      <c r="BZS25" s="788" t="e">
        <f>AJ26*AC26*AC25</f>
        <v>#N/A</v>
      </c>
      <c r="BZT25" s="788">
        <f>100*AC26*AC25</f>
        <v>25</v>
      </c>
      <c r="BZU25" s="782"/>
      <c r="BZV25" s="788" t="s">
        <v>67</v>
      </c>
      <c r="BZW25" s="788" t="e">
        <f>AK26*AD26*AD25</f>
        <v>#N/A</v>
      </c>
      <c r="BZX25" s="788">
        <f>100*AD26*AD25</f>
        <v>12.5</v>
      </c>
      <c r="BZY25" s="782"/>
      <c r="BZZ25" s="784"/>
      <c r="CAA25" s="281" t="str">
        <f t="shared" ref="CAA25:CAA35" si="11">BZV25</f>
        <v>levensduurverlenging</v>
      </c>
      <c r="CAB25" s="283" t="e">
        <f t="shared" si="9"/>
        <v>#N/A</v>
      </c>
      <c r="CAC25" s="284">
        <f t="shared" si="10"/>
        <v>7.0000000000000009</v>
      </c>
    </row>
    <row r="26" spans="1:47 2022:2057" ht="47.4" customHeight="1" x14ac:dyDescent="0.4">
      <c r="A26" s="12"/>
      <c r="B26" s="16">
        <v>1</v>
      </c>
      <c r="C26" s="16">
        <v>1</v>
      </c>
      <c r="D26" s="16">
        <v>1</v>
      </c>
      <c r="E26" s="16">
        <v>1</v>
      </c>
      <c r="F26" s="16">
        <v>1</v>
      </c>
      <c r="G26" s="16">
        <v>1</v>
      </c>
      <c r="H26" s="16"/>
      <c r="I26" s="16"/>
      <c r="J26" s="16"/>
      <c r="K26" s="452" t="s">
        <v>60</v>
      </c>
      <c r="L26" s="549" t="s">
        <v>68</v>
      </c>
      <c r="M26" s="551" t="str">
        <f>IF(N26="","         klik hier op linkermuisknop + selecteer via het pull down menu het gerealiseerd circulaire doel","")</f>
        <v xml:space="preserve">         klik hier op linkermuisknop + selecteer via het pull down menu het gerealiseerd circulaire doel</v>
      </c>
      <c r="N26" s="210"/>
      <c r="O26" s="20"/>
      <c r="P26" s="20"/>
      <c r="Q26" s="20"/>
      <c r="R26" s="20"/>
      <c r="S26" s="20"/>
      <c r="T26" s="20"/>
      <c r="U26" s="20"/>
      <c r="V26" s="128"/>
      <c r="W26" s="7">
        <f>X26*$X$20+Y26*$Y$20+Z26*$Z$20+AA26*$AA$20+AB26*$AB$20+AC26*$AC$20+AD26*$AD$20</f>
        <v>1</v>
      </c>
      <c r="X26" s="26">
        <f>'info weging'!B11</f>
        <v>1</v>
      </c>
      <c r="Y26" s="26">
        <f>'info weging'!C11</f>
        <v>1</v>
      </c>
      <c r="Z26" s="26">
        <f>'info weging'!D11</f>
        <v>1</v>
      </c>
      <c r="AA26" s="26">
        <f>'info weging'!E11</f>
        <v>1</v>
      </c>
      <c r="AB26" s="26">
        <f>'info weging'!F11</f>
        <v>1</v>
      </c>
      <c r="AC26" s="27">
        <f>'info weging'!G11</f>
        <v>1</v>
      </c>
      <c r="AD26" s="27">
        <f>'info weging'!H11</f>
        <v>1</v>
      </c>
      <c r="AE26" s="96" t="e">
        <f>VLOOKUP(N26,'info weging'!$A$36:$H$163,2,FALSE)</f>
        <v>#N/A</v>
      </c>
      <c r="AF26" s="8" t="e">
        <f>VLOOKUP(N26,'info weging'!$A$36:$H$163,3,FALSE)</f>
        <v>#N/A</v>
      </c>
      <c r="AG26" s="8" t="e">
        <f>VLOOKUP(N26,'info weging'!$A$36:$H$163,4,FALSE)</f>
        <v>#N/A</v>
      </c>
      <c r="AH26" s="8" t="e">
        <f>VLOOKUP(N26,'info weging'!$A$36:$H$163,5,FALSE)</f>
        <v>#N/A</v>
      </c>
      <c r="AI26" s="8" t="e">
        <f>VLOOKUP(N26,'info weging'!$A$36:$H$163,6,FALSE)</f>
        <v>#N/A</v>
      </c>
      <c r="AJ26" s="9" t="e">
        <f>VLOOKUP(N26,'info weging'!$A$36:$H$163,7,FALSE)</f>
        <v>#N/A</v>
      </c>
      <c r="AK26" s="9" t="e">
        <f>VLOOKUP(N26,'info weging'!$A$36:$H$163,8,FALSE)</f>
        <v>#N/A</v>
      </c>
      <c r="AL26" s="260" t="str">
        <f>IF(COUNTA(N26)=1,AE26*$AE$15+AF26*$AF$15+AG26*$AG$15+AH26*$AH$15+AI26*$AI$15+AJ26*$AJ$15+AK26*$AK$15,"----")</f>
        <v>----</v>
      </c>
      <c r="AM26" s="128"/>
      <c r="AN26" s="127">
        <f>'print Basis'!P21</f>
        <v>1</v>
      </c>
      <c r="AO26" s="128"/>
      <c r="AP26" s="622"/>
      <c r="AQ26" s="5"/>
      <c r="AR26" s="778"/>
      <c r="AS26" s="20"/>
      <c r="AT26" s="20"/>
      <c r="AU26" s="20"/>
      <c r="BYT26" s="299"/>
      <c r="BYU26" s="782"/>
      <c r="BYV26" s="787" t="s">
        <v>70</v>
      </c>
      <c r="BYW26" s="788" t="s">
        <v>60</v>
      </c>
      <c r="BYX26" s="788" t="s">
        <v>71</v>
      </c>
      <c r="BYY26" s="789" t="e">
        <f>AE28*X28*X27</f>
        <v>#N/A</v>
      </c>
      <c r="BYZ26" s="789">
        <f>100*X28*X27</f>
        <v>7.8000000000000007</v>
      </c>
      <c r="BZA26" s="790"/>
      <c r="BZB26" s="788" t="s">
        <v>71</v>
      </c>
      <c r="BZC26" s="789" t="e">
        <f>AF28*Y28*Y27</f>
        <v>#N/A</v>
      </c>
      <c r="BZD26" s="789">
        <f>100*Y28*Y27</f>
        <v>2.8000000000000003</v>
      </c>
      <c r="BZE26" s="790"/>
      <c r="BZF26" s="788" t="s">
        <v>71</v>
      </c>
      <c r="BZG26" s="789" t="e">
        <f>AG28*Z28*Z27</f>
        <v>#N/A</v>
      </c>
      <c r="BZH26" s="789">
        <f>100*Z28*Z27</f>
        <v>6</v>
      </c>
      <c r="BZI26" s="790"/>
      <c r="BZJ26" s="788" t="s">
        <v>71</v>
      </c>
      <c r="BZK26" s="789" t="e">
        <f>AH28*AA28*AA27</f>
        <v>#N/A</v>
      </c>
      <c r="BZL26" s="789">
        <f>100*AA28*AA27</f>
        <v>6</v>
      </c>
      <c r="BZM26" s="790"/>
      <c r="BZN26" s="788" t="s">
        <v>71</v>
      </c>
      <c r="BZO26" s="789" t="e">
        <f>AI28*AB28*AB27</f>
        <v>#N/A</v>
      </c>
      <c r="BZP26" s="789">
        <f>100*G28*G27</f>
        <v>4</v>
      </c>
      <c r="BZQ26" s="790"/>
      <c r="BZR26" s="788" t="s">
        <v>71</v>
      </c>
      <c r="BZS26" s="788" t="e">
        <f>AJ28*AC28*AC27</f>
        <v>#N/A</v>
      </c>
      <c r="BZT26" s="788">
        <f>100*AC28*AC27</f>
        <v>4</v>
      </c>
      <c r="BZU26" s="782"/>
      <c r="BZV26" s="788" t="s">
        <v>71</v>
      </c>
      <c r="BZW26" s="788" t="e">
        <f>AK28*AD28*AD27</f>
        <v>#N/A</v>
      </c>
      <c r="BZX26" s="788">
        <f>100*AD28*AD27</f>
        <v>5</v>
      </c>
      <c r="BZY26" s="782"/>
      <c r="BZZ26" s="784"/>
      <c r="CAA26" s="281" t="str">
        <f t="shared" si="11"/>
        <v>hergebruik</v>
      </c>
      <c r="CAB26" s="283" t="e">
        <f t="shared" si="9"/>
        <v>#N/A</v>
      </c>
      <c r="CAC26" s="284">
        <f t="shared" si="10"/>
        <v>2.8000000000000003</v>
      </c>
    </row>
    <row r="27" spans="1:47 2022:2057" ht="21" customHeight="1" x14ac:dyDescent="0.4">
      <c r="A27" s="12"/>
      <c r="B27" s="15">
        <v>0.17</v>
      </c>
      <c r="C27" s="15">
        <v>0.15</v>
      </c>
      <c r="D27" s="15">
        <v>0.15</v>
      </c>
      <c r="E27" s="15">
        <v>0.2</v>
      </c>
      <c r="F27" s="15">
        <v>0.25</v>
      </c>
      <c r="G27" s="15">
        <v>0.2</v>
      </c>
      <c r="H27" s="15"/>
      <c r="I27" s="15"/>
      <c r="J27" s="15"/>
      <c r="K27" s="84">
        <v>3</v>
      </c>
      <c r="L27" s="56" t="s">
        <v>72</v>
      </c>
      <c r="M27" s="57"/>
      <c r="N27" s="239"/>
      <c r="O27" s="20"/>
      <c r="P27" s="20"/>
      <c r="Q27" s="20"/>
      <c r="R27" s="20"/>
      <c r="S27" s="20"/>
      <c r="T27" s="20"/>
      <c r="U27" s="20">
        <v>3</v>
      </c>
      <c r="V27" s="128"/>
      <c r="W27" s="7">
        <f t="shared" si="8"/>
        <v>7.0000000000000007E-2</v>
      </c>
      <c r="X27" s="22">
        <f>'info weging'!B12</f>
        <v>0.13</v>
      </c>
      <c r="Y27" s="22">
        <f>'info weging'!C12</f>
        <v>7.0000000000000007E-2</v>
      </c>
      <c r="Z27" s="22">
        <f>'info weging'!D12</f>
        <v>0.15</v>
      </c>
      <c r="AA27" s="22">
        <f>'info weging'!E12</f>
        <v>0.2</v>
      </c>
      <c r="AB27" s="22">
        <f>'info weging'!F12</f>
        <v>0.25</v>
      </c>
      <c r="AC27" s="23">
        <f>'info weging'!G12</f>
        <v>0.2</v>
      </c>
      <c r="AD27" s="23">
        <f>'info weging'!H12</f>
        <v>0.125</v>
      </c>
      <c r="AE27" s="74"/>
      <c r="AF27" s="72"/>
      <c r="AG27" s="72"/>
      <c r="AH27" s="72"/>
      <c r="AI27" s="72"/>
      <c r="AJ27" s="73"/>
      <c r="AK27" s="73"/>
      <c r="AL27" s="118"/>
      <c r="AM27" s="128"/>
      <c r="AN27" s="201">
        <f>'print Basis'!P22</f>
        <v>7.0000000000000007E-2</v>
      </c>
      <c r="AO27" s="128"/>
      <c r="AP27" s="621" t="e">
        <f>'print Basis'!Q22</f>
        <v>#VALUE!</v>
      </c>
      <c r="AQ27" s="5"/>
      <c r="AR27" s="779"/>
      <c r="AS27" s="20"/>
      <c r="AT27" s="20"/>
      <c r="AU27" s="20"/>
      <c r="BYT27" s="299"/>
      <c r="BYU27" s="782"/>
      <c r="BYV27" s="787"/>
      <c r="BYW27" s="788" t="s">
        <v>73</v>
      </c>
      <c r="BYX27" s="788" t="s">
        <v>74</v>
      </c>
      <c r="BYY27" s="789" t="e">
        <f>AE29*X29*X27</f>
        <v>#N/A</v>
      </c>
      <c r="BYZ27" s="789">
        <f>100*X29*X27</f>
        <v>1.3</v>
      </c>
      <c r="BZA27" s="790"/>
      <c r="BZB27" s="788" t="s">
        <v>74</v>
      </c>
      <c r="BZC27" s="789" t="e">
        <f>AF29*Y29*Y27</f>
        <v>#N/A</v>
      </c>
      <c r="BZD27" s="789">
        <f>Y29*Y27*100</f>
        <v>2.8000000000000003</v>
      </c>
      <c r="BZE27" s="790"/>
      <c r="BZF27" s="788" t="s">
        <v>74</v>
      </c>
      <c r="BZG27" s="789" t="e">
        <f>AG29*Z29*Z27</f>
        <v>#N/A</v>
      </c>
      <c r="BZH27" s="789">
        <f>Z29*Z27*100</f>
        <v>6</v>
      </c>
      <c r="BZI27" s="790"/>
      <c r="BZJ27" s="788" t="s">
        <v>74</v>
      </c>
      <c r="BZK27" s="789" t="e">
        <f>AH29*AA29*AA27</f>
        <v>#N/A</v>
      </c>
      <c r="BZL27" s="789">
        <f>100*AA29*AA27</f>
        <v>12</v>
      </c>
      <c r="BZM27" s="790"/>
      <c r="BZN27" s="788" t="s">
        <v>74</v>
      </c>
      <c r="BZO27" s="789" t="e">
        <f>AI29*AB29*AB27</f>
        <v>#N/A</v>
      </c>
      <c r="BZP27" s="789">
        <f>G29*G27*100</f>
        <v>13.999999999999998</v>
      </c>
      <c r="BZQ27" s="790"/>
      <c r="BZR27" s="788" t="s">
        <v>74</v>
      </c>
      <c r="BZS27" s="788" t="e">
        <f>AJ29*AC29*AC27</f>
        <v>#N/A</v>
      </c>
      <c r="BZT27" s="788">
        <f>AC29*AC27*100</f>
        <v>13.999999999999998</v>
      </c>
      <c r="BZU27" s="782"/>
      <c r="BZV27" s="788" t="s">
        <v>74</v>
      </c>
      <c r="BZW27" s="788" t="e">
        <f>AK29*AD29*AD27</f>
        <v>#N/A</v>
      </c>
      <c r="BZX27" s="788">
        <f>100*AD29*AD27</f>
        <v>5</v>
      </c>
      <c r="BZY27" s="782"/>
      <c r="BZZ27" s="784"/>
      <c r="CAA27" s="281" t="str">
        <f t="shared" si="11"/>
        <v>materialendatabank</v>
      </c>
      <c r="CAB27" s="283" t="e">
        <f t="shared" si="9"/>
        <v>#N/A</v>
      </c>
      <c r="CAC27" s="284">
        <f t="shared" si="10"/>
        <v>2.8000000000000003</v>
      </c>
    </row>
    <row r="28" spans="1:47 2022:2057" ht="59.4" customHeight="1" x14ac:dyDescent="0.4">
      <c r="A28" s="12"/>
      <c r="B28" s="16">
        <v>0.4</v>
      </c>
      <c r="C28" s="16">
        <v>0.4</v>
      </c>
      <c r="D28" s="16">
        <v>0.4</v>
      </c>
      <c r="E28" s="16">
        <v>0.3</v>
      </c>
      <c r="F28" s="16">
        <v>0.2</v>
      </c>
      <c r="G28" s="16">
        <v>0.2</v>
      </c>
      <c r="H28" s="16"/>
      <c r="I28" s="16"/>
      <c r="J28" s="16"/>
      <c r="K28" s="452" t="s">
        <v>60</v>
      </c>
      <c r="L28" s="549" t="s">
        <v>75</v>
      </c>
      <c r="M28" s="551" t="str">
        <f>IF(N28="","         klik hier op linkermuisknop + selecteer via het pull down menu het gerealiseerd circulaire doel","")</f>
        <v xml:space="preserve">         klik hier op linkermuisknop + selecteer via het pull down menu het gerealiseerd circulaire doel</v>
      </c>
      <c r="N28" s="210"/>
      <c r="O28" s="20"/>
      <c r="P28" s="20"/>
      <c r="Q28" s="20"/>
      <c r="R28" s="20"/>
      <c r="S28" s="20"/>
      <c r="T28" s="20"/>
      <c r="U28" s="20"/>
      <c r="V28" s="128"/>
      <c r="W28" s="7">
        <f t="shared" si="8"/>
        <v>0.4</v>
      </c>
      <c r="X28" s="26">
        <f>'info weging'!B13</f>
        <v>0.6</v>
      </c>
      <c r="Y28" s="26">
        <f>'info weging'!C13</f>
        <v>0.4</v>
      </c>
      <c r="Z28" s="26">
        <f>'info weging'!D13</f>
        <v>0.4</v>
      </c>
      <c r="AA28" s="26">
        <f>'info weging'!E13</f>
        <v>0.3</v>
      </c>
      <c r="AB28" s="26">
        <f>'info weging'!F13</f>
        <v>0.2</v>
      </c>
      <c r="AC28" s="27">
        <f>'info weging'!G13</f>
        <v>0.2</v>
      </c>
      <c r="AD28" s="27">
        <f>'info weging'!H13</f>
        <v>0.4</v>
      </c>
      <c r="AE28" s="92" t="e">
        <f>VLOOKUP(N28,'info weging'!$A$36:$H$163,2,FALSE)</f>
        <v>#N/A</v>
      </c>
      <c r="AF28" s="8" t="e">
        <f>VLOOKUP(N28,'info weging'!$A$36:$H$163,3,FALSE)</f>
        <v>#N/A</v>
      </c>
      <c r="AG28" s="8" t="e">
        <f>VLOOKUP(N28,'info weging'!$A$36:$H$163,4,FALSE)</f>
        <v>#N/A</v>
      </c>
      <c r="AH28" s="8" t="e">
        <f>VLOOKUP(N28,'info weging'!$A$36:$H$163,5,FALSE)</f>
        <v>#N/A</v>
      </c>
      <c r="AI28" s="8" t="e">
        <f>VLOOKUP(N28,'info weging'!$A$36:$H$163,6,FALSE)</f>
        <v>#N/A</v>
      </c>
      <c r="AJ28" s="9" t="e">
        <f>VLOOKUP(N28,'info weging'!$A$36:$H$163,7,FALSE)</f>
        <v>#N/A</v>
      </c>
      <c r="AK28" s="9" t="e">
        <f>VLOOKUP(N28,'info weging'!$A$36:$H$163,8,FALSE)</f>
        <v>#N/A</v>
      </c>
      <c r="AL28" s="260" t="str">
        <f>IF(COUNTA(N28)=1,AE28*$AE$15+AF28*$AF$15+AG28*$AG$15+AH28*$AH$15+AI28*$AI$15+AJ28*$AJ$15+AK28*$AK$15,"----")</f>
        <v>----</v>
      </c>
      <c r="AM28" s="128"/>
      <c r="AN28" s="127">
        <f>'print Basis'!P23</f>
        <v>0.4</v>
      </c>
      <c r="AO28" s="202"/>
      <c r="AP28" s="622"/>
      <c r="AQ28" s="5"/>
      <c r="AR28" s="778"/>
      <c r="AS28" s="20"/>
      <c r="AT28" s="20"/>
      <c r="AU28" s="20"/>
      <c r="BYT28" s="299"/>
      <c r="BYU28" s="782"/>
      <c r="BYV28" s="787"/>
      <c r="BYW28" s="788" t="s">
        <v>77</v>
      </c>
      <c r="BYX28" s="788" t="s">
        <v>78</v>
      </c>
      <c r="BYY28" s="789" t="e">
        <f>AE30*X30*X27</f>
        <v>#N/A</v>
      </c>
      <c r="BYZ28" s="789">
        <f>X30*X27*100</f>
        <v>3.9</v>
      </c>
      <c r="BZA28" s="790"/>
      <c r="BZB28" s="788" t="s">
        <v>78</v>
      </c>
      <c r="BZC28" s="789" t="e">
        <f>AF30*Y30*Y27</f>
        <v>#N/A</v>
      </c>
      <c r="BZD28" s="789">
        <f>100*Y30*Y27</f>
        <v>1.4000000000000001</v>
      </c>
      <c r="BZE28" s="790"/>
      <c r="BZF28" s="788" t="s">
        <v>78</v>
      </c>
      <c r="BZG28" s="789" t="e">
        <f>AG30*Z30*Z27</f>
        <v>#N/A</v>
      </c>
      <c r="BZH28" s="789">
        <f>100*Z30*Z27</f>
        <v>3</v>
      </c>
      <c r="BZI28" s="790"/>
      <c r="BZJ28" s="788" t="s">
        <v>78</v>
      </c>
      <c r="BZK28" s="789" t="e">
        <f>AH30*AA30*AA27</f>
        <v>#N/A</v>
      </c>
      <c r="BZL28" s="789">
        <f>100*AA30*AA27</f>
        <v>2</v>
      </c>
      <c r="BZM28" s="790"/>
      <c r="BZN28" s="788" t="s">
        <v>78</v>
      </c>
      <c r="BZO28" s="789" t="e">
        <f>AI30*AB30*AB27</f>
        <v>#N/A</v>
      </c>
      <c r="BZP28" s="789">
        <f>100*G30*G27</f>
        <v>2</v>
      </c>
      <c r="BZQ28" s="790"/>
      <c r="BZR28" s="788" t="s">
        <v>78</v>
      </c>
      <c r="BZS28" s="788" t="e">
        <f>AJ30*AC30*AC27</f>
        <v>#N/A</v>
      </c>
      <c r="BZT28" s="788">
        <f>100*AC27*AC30</f>
        <v>2</v>
      </c>
      <c r="BZU28" s="782"/>
      <c r="BZV28" s="788" t="s">
        <v>78</v>
      </c>
      <c r="BZW28" s="788" t="e">
        <f>AK30*AD30*AD27</f>
        <v>#N/A</v>
      </c>
      <c r="BZX28" s="788">
        <f>100*AD30*AD27</f>
        <v>2.5</v>
      </c>
      <c r="BZY28" s="782"/>
      <c r="BZZ28" s="784"/>
      <c r="CAA28" s="281" t="str">
        <f t="shared" si="11"/>
        <v>natuurlijk proces</v>
      </c>
      <c r="CAB28" s="283" t="e">
        <f t="shared" si="9"/>
        <v>#N/A</v>
      </c>
      <c r="CAC28" s="284">
        <f t="shared" si="10"/>
        <v>1.4000000000000001</v>
      </c>
    </row>
    <row r="29" spans="1:47 2022:2057" ht="31.2" customHeight="1" x14ac:dyDescent="0.4">
      <c r="A29" s="12"/>
      <c r="B29" s="16">
        <v>0.4</v>
      </c>
      <c r="C29" s="16">
        <v>0.4</v>
      </c>
      <c r="D29" s="16">
        <v>0.4</v>
      </c>
      <c r="E29" s="16">
        <v>0.6</v>
      </c>
      <c r="F29" s="16">
        <v>0.7</v>
      </c>
      <c r="G29" s="16">
        <v>0.7</v>
      </c>
      <c r="H29" s="16"/>
      <c r="I29" s="16"/>
      <c r="J29" s="16"/>
      <c r="K29" s="452" t="s">
        <v>73</v>
      </c>
      <c r="L29" s="549" t="s">
        <v>79</v>
      </c>
      <c r="M29" s="551" t="str">
        <f>IF(N29="","         klik hier op linkermuisknop + selecteer via het pull down menu het gerealiseerd circulaire doel","")</f>
        <v xml:space="preserve">         klik hier op linkermuisknop + selecteer via het pull down menu het gerealiseerd circulaire doel</v>
      </c>
      <c r="N29" s="210"/>
      <c r="O29" s="20"/>
      <c r="P29" s="20"/>
      <c r="Q29" s="20"/>
      <c r="R29" s="20"/>
      <c r="S29" s="20"/>
      <c r="T29" s="20"/>
      <c r="U29" s="20"/>
      <c r="V29" s="128"/>
      <c r="W29" s="7">
        <f t="shared" si="8"/>
        <v>0.4</v>
      </c>
      <c r="X29" s="26">
        <f>'info weging'!B14</f>
        <v>0.1</v>
      </c>
      <c r="Y29" s="26">
        <f>'info weging'!C14</f>
        <v>0.4</v>
      </c>
      <c r="Z29" s="26">
        <f>'info weging'!D14</f>
        <v>0.4</v>
      </c>
      <c r="AA29" s="26">
        <f>'info weging'!E14</f>
        <v>0.6</v>
      </c>
      <c r="AB29" s="26">
        <f>'info weging'!F14</f>
        <v>0.7</v>
      </c>
      <c r="AC29" s="27">
        <f>'info weging'!G14</f>
        <v>0.7</v>
      </c>
      <c r="AD29" s="27">
        <f>'info weging'!H14</f>
        <v>0.4</v>
      </c>
      <c r="AE29" s="92" t="e">
        <f>VLOOKUP(N29,'info weging'!$A$36:$H$163,2,FALSE)</f>
        <v>#N/A</v>
      </c>
      <c r="AF29" s="8" t="e">
        <f>VLOOKUP(N29,'info weging'!$A$36:$H$163,3,FALSE)</f>
        <v>#N/A</v>
      </c>
      <c r="AG29" s="8" t="e">
        <f>VLOOKUP(N29,'info weging'!$A$36:$H$163,4,FALSE)</f>
        <v>#N/A</v>
      </c>
      <c r="AH29" s="8" t="e">
        <f>VLOOKUP(N29,'info weging'!$A$36:$H$163,5,FALSE)</f>
        <v>#N/A</v>
      </c>
      <c r="AI29" s="8" t="e">
        <f>VLOOKUP(N29,'info weging'!$A$36:$H$163,6,FALSE)</f>
        <v>#N/A</v>
      </c>
      <c r="AJ29" s="9" t="e">
        <f>VLOOKUP(N29,'info weging'!$A$36:$H$163,7,FALSE)</f>
        <v>#N/A</v>
      </c>
      <c r="AK29" s="9" t="e">
        <f>VLOOKUP(N29,'info weging'!$A$36:$H$163,8,FALSE)</f>
        <v>#N/A</v>
      </c>
      <c r="AL29" s="260" t="str">
        <f>IF(COUNTA(N29)=1,AE29*$AE$15+AF29*$AF$15+AG29*$AG$15+AH29*$AH$15+AI29*$AI$15+AJ29*$AJ$15+AK29*$AK$15,"----")</f>
        <v>----</v>
      </c>
      <c r="AM29" s="128"/>
      <c r="AN29" s="127">
        <f>'print Basis'!P24</f>
        <v>0.4</v>
      </c>
      <c r="AO29" s="202"/>
      <c r="AP29" s="622"/>
      <c r="AQ29" s="5"/>
      <c r="AR29" s="778"/>
      <c r="AS29" s="20"/>
      <c r="AT29" s="20"/>
      <c r="AU29" s="20"/>
      <c r="BYT29" s="299"/>
      <c r="BYU29" s="782"/>
      <c r="BYV29" s="787" t="s">
        <v>81</v>
      </c>
      <c r="BYW29" s="788" t="s">
        <v>60</v>
      </c>
      <c r="BYX29" s="788" t="s">
        <v>82</v>
      </c>
      <c r="BYY29" s="789" t="e">
        <f>AE32*X32*X31</f>
        <v>#N/A</v>
      </c>
      <c r="BYZ29" s="789">
        <f>100*X32*X31</f>
        <v>4.5</v>
      </c>
      <c r="BZA29" s="790"/>
      <c r="BZB29" s="788" t="s">
        <v>82</v>
      </c>
      <c r="BZC29" s="789" t="e">
        <f>AF32*Y32*Y31</f>
        <v>#N/A</v>
      </c>
      <c r="BZD29" s="789">
        <f>100*Y32*Y31</f>
        <v>6.3000000000000007</v>
      </c>
      <c r="BZE29" s="790"/>
      <c r="BZF29" s="788" t="s">
        <v>82</v>
      </c>
      <c r="BZG29" s="789" t="e">
        <f>AG32*Z32*Z31</f>
        <v>#N/A</v>
      </c>
      <c r="BZH29" s="789">
        <f>100*Z32*Z31</f>
        <v>9</v>
      </c>
      <c r="BZI29" s="790"/>
      <c r="BZJ29" s="788" t="s">
        <v>82</v>
      </c>
      <c r="BZK29" s="789" t="e">
        <f>AH32*AA32*AA31</f>
        <v>#N/A</v>
      </c>
      <c r="BZL29" s="789">
        <f>100*AA32*AA31</f>
        <v>8</v>
      </c>
      <c r="BZM29" s="790"/>
      <c r="BZN29" s="788" t="s">
        <v>82</v>
      </c>
      <c r="BZO29" s="789" t="e">
        <f>AI32*AB32*AB31</f>
        <v>#N/A</v>
      </c>
      <c r="BZP29" s="789">
        <f>100*G32*G31</f>
        <v>7.5</v>
      </c>
      <c r="BZQ29" s="790"/>
      <c r="BZR29" s="788" t="s">
        <v>82</v>
      </c>
      <c r="BZS29" s="788" t="e">
        <f>AJ32*AC32*AC31</f>
        <v>#N/A</v>
      </c>
      <c r="BZT29" s="788">
        <f>100*AC32*AC31</f>
        <v>7.5</v>
      </c>
      <c r="BZU29" s="782"/>
      <c r="BZV29" s="788" t="s">
        <v>82</v>
      </c>
      <c r="BZW29" s="788" t="e">
        <f>AK32*AD32*AD31</f>
        <v>#N/A</v>
      </c>
      <c r="BZX29" s="788">
        <f>100*AD32*AD31</f>
        <v>11.25</v>
      </c>
      <c r="BZY29" s="782"/>
      <c r="BZZ29" s="784"/>
      <c r="CAA29" s="281" t="str">
        <f t="shared" si="11"/>
        <v>herbruikb.na afdank</v>
      </c>
      <c r="CAB29" s="283" t="e">
        <f t="shared" si="9"/>
        <v>#N/A</v>
      </c>
      <c r="CAC29" s="284">
        <f t="shared" si="10"/>
        <v>6.3000000000000007</v>
      </c>
    </row>
    <row r="30" spans="1:47 2022:2057" ht="45.6" customHeight="1" x14ac:dyDescent="0.4">
      <c r="A30" s="12"/>
      <c r="B30" s="16">
        <v>0.2</v>
      </c>
      <c r="C30" s="16">
        <v>0.2</v>
      </c>
      <c r="D30" s="16">
        <v>0.2</v>
      </c>
      <c r="E30" s="16">
        <v>0.1</v>
      </c>
      <c r="F30" s="16">
        <v>0.1</v>
      </c>
      <c r="G30" s="16">
        <v>0.1</v>
      </c>
      <c r="H30" s="16"/>
      <c r="I30" s="16"/>
      <c r="J30" s="16"/>
      <c r="K30" s="452" t="s">
        <v>77</v>
      </c>
      <c r="L30" s="549" t="s">
        <v>83</v>
      </c>
      <c r="M30" s="551" t="str">
        <f>IF(N30="","         klik hier op linkermuisknop + selecteer via het pull down menu het gerealiseerd circulaire doel","")</f>
        <v xml:space="preserve">         klik hier op linkermuisknop + selecteer via het pull down menu het gerealiseerd circulaire doel</v>
      </c>
      <c r="N30" s="210"/>
      <c r="O30" s="20"/>
      <c r="P30" s="20"/>
      <c r="Q30" s="20"/>
      <c r="R30" s="20"/>
      <c r="S30" s="20"/>
      <c r="T30" s="20"/>
      <c r="U30" s="20"/>
      <c r="V30" s="128"/>
      <c r="W30" s="7">
        <f t="shared" si="8"/>
        <v>0.2</v>
      </c>
      <c r="X30" s="26">
        <f>'info weging'!B15</f>
        <v>0.3</v>
      </c>
      <c r="Y30" s="26">
        <f>'info weging'!C15</f>
        <v>0.2</v>
      </c>
      <c r="Z30" s="26">
        <f>'info weging'!D15</f>
        <v>0.2</v>
      </c>
      <c r="AA30" s="26">
        <f>'info weging'!E15</f>
        <v>0.1</v>
      </c>
      <c r="AB30" s="26">
        <f>'info weging'!F15</f>
        <v>0.1</v>
      </c>
      <c r="AC30" s="27">
        <f>'info weging'!G15</f>
        <v>0.1</v>
      </c>
      <c r="AD30" s="27">
        <f>'info weging'!H15</f>
        <v>0.2</v>
      </c>
      <c r="AE30" s="92" t="e">
        <f>VLOOKUP(N30,'info weging'!$A$36:$H$163,2,FALSE)</f>
        <v>#N/A</v>
      </c>
      <c r="AF30" s="8" t="e">
        <f>VLOOKUP(N30,'info weging'!$A$36:$H$163,3,FALSE)</f>
        <v>#N/A</v>
      </c>
      <c r="AG30" s="8" t="e">
        <f>VLOOKUP(N30,'info weging'!$A$36:$H$163,4,FALSE)</f>
        <v>#N/A</v>
      </c>
      <c r="AH30" s="8" t="e">
        <f>VLOOKUP(N30,'info weging'!$A$36:$H$163,5,FALSE)</f>
        <v>#N/A</v>
      </c>
      <c r="AI30" s="8" t="e">
        <f>VLOOKUP(N30,'info weging'!$A$36:$H$163,6,FALSE)</f>
        <v>#N/A</v>
      </c>
      <c r="AJ30" s="9" t="e">
        <f>VLOOKUP(N30,'info weging'!$A$36:$H$163,7,FALSE)</f>
        <v>#N/A</v>
      </c>
      <c r="AK30" s="9" t="e">
        <f>VLOOKUP(N30,'info weging'!$A$36:$H$163,8,FALSE)</f>
        <v>#N/A</v>
      </c>
      <c r="AL30" s="260" t="str">
        <f>IF(COUNTA(N30)=1,AE30*$AE$15+AF30*$AF$15+AG30*$AG$15+AH30*$AH$15+AI30*$AI$15+AJ30*$AJ$15+AK30*$AK$15,"----")</f>
        <v>----</v>
      </c>
      <c r="AM30" s="128"/>
      <c r="AN30" s="127">
        <f>'print Basis'!P25</f>
        <v>0.2</v>
      </c>
      <c r="AO30" s="202"/>
      <c r="AP30" s="622"/>
      <c r="AQ30" s="5"/>
      <c r="AR30" s="778"/>
      <c r="AS30" s="20"/>
      <c r="AT30" s="20"/>
      <c r="AU30" s="20"/>
      <c r="BYT30" s="299"/>
      <c r="BYU30" s="782"/>
      <c r="BYV30" s="788"/>
      <c r="BYW30" s="788" t="s">
        <v>73</v>
      </c>
      <c r="BYX30" s="788" t="s">
        <v>85</v>
      </c>
      <c r="BYY30" s="789" t="e">
        <f>AE33*X33*X31</f>
        <v>#N/A</v>
      </c>
      <c r="BYZ30" s="789">
        <f>100*X33*X31</f>
        <v>0.5</v>
      </c>
      <c r="BZA30" s="790"/>
      <c r="BZB30" s="788" t="s">
        <v>85</v>
      </c>
      <c r="BZC30" s="789" t="e">
        <f>AF33*Y33*Y31</f>
        <v>#N/A</v>
      </c>
      <c r="BZD30" s="789">
        <f>Y33*Y31*100</f>
        <v>0.70000000000000007</v>
      </c>
      <c r="BZE30" s="790"/>
      <c r="BZF30" s="788" t="s">
        <v>85</v>
      </c>
      <c r="BZG30" s="789" t="e">
        <f>AG33*Z33*Z31</f>
        <v>#N/A</v>
      </c>
      <c r="BZH30" s="789">
        <f>Z33*Z31*100</f>
        <v>1.0000000000000002</v>
      </c>
      <c r="BZI30" s="790"/>
      <c r="BZJ30" s="788" t="s">
        <v>85</v>
      </c>
      <c r="BZK30" s="789" t="e">
        <f>AH33*AA33*AA31</f>
        <v>#N/A</v>
      </c>
      <c r="BZL30" s="789">
        <f>100*AA33*AA31</f>
        <v>2</v>
      </c>
      <c r="BZM30" s="790"/>
      <c r="BZN30" s="788" t="s">
        <v>85</v>
      </c>
      <c r="BZO30" s="789" t="e">
        <f>AI33*AB33*AB31</f>
        <v>#N/A</v>
      </c>
      <c r="BZP30" s="789">
        <f>G33*G31*100</f>
        <v>7.5</v>
      </c>
      <c r="BZQ30" s="790"/>
      <c r="BZR30" s="788" t="s">
        <v>85</v>
      </c>
      <c r="BZS30" s="788" t="e">
        <f>AJ33*AC33*AC31</f>
        <v>#N/A</v>
      </c>
      <c r="BZT30" s="788">
        <f>AC33*AC31*100</f>
        <v>7.5</v>
      </c>
      <c r="BZU30" s="782"/>
      <c r="BZV30" s="788" t="s">
        <v>85</v>
      </c>
      <c r="BZW30" s="788" t="e">
        <f>AK33*AD33*AD31</f>
        <v>#N/A</v>
      </c>
      <c r="BZX30" s="788">
        <f>100*AD33*AD31</f>
        <v>1.25</v>
      </c>
      <c r="BZY30" s="782"/>
      <c r="BZZ30" s="784"/>
      <c r="CAA30" s="281" t="str">
        <f t="shared" si="11"/>
        <v>materialenpaspoort</v>
      </c>
      <c r="CAB30" s="283" t="e">
        <f t="shared" si="9"/>
        <v>#N/A</v>
      </c>
      <c r="CAC30" s="284">
        <f t="shared" si="10"/>
        <v>0.70000000000000007</v>
      </c>
    </row>
    <row r="31" spans="1:47 2022:2057" ht="21" customHeight="1" x14ac:dyDescent="0.4">
      <c r="A31" s="12"/>
      <c r="B31" s="15">
        <v>0.05</v>
      </c>
      <c r="C31" s="15">
        <v>0.1</v>
      </c>
      <c r="D31" s="15">
        <v>0.15</v>
      </c>
      <c r="E31" s="15">
        <v>0.1</v>
      </c>
      <c r="F31" s="15">
        <v>0.15</v>
      </c>
      <c r="G31" s="15">
        <v>0.15</v>
      </c>
      <c r="H31" s="15"/>
      <c r="I31" s="15"/>
      <c r="J31" s="15"/>
      <c r="K31" s="85">
        <v>4</v>
      </c>
      <c r="L31" s="44" t="s">
        <v>86</v>
      </c>
      <c r="M31" s="41"/>
      <c r="N31" s="240"/>
      <c r="O31" s="20"/>
      <c r="P31" s="20"/>
      <c r="Q31" s="20"/>
      <c r="R31" s="20"/>
      <c r="S31" s="20"/>
      <c r="T31" s="20"/>
      <c r="U31" s="20">
        <v>4</v>
      </c>
      <c r="V31" s="128"/>
      <c r="W31" s="7">
        <f t="shared" si="8"/>
        <v>7.0000000000000007E-2</v>
      </c>
      <c r="X31" s="22">
        <f>'info weging'!B16</f>
        <v>0.05</v>
      </c>
      <c r="Y31" s="22">
        <f>'info weging'!C16</f>
        <v>7.0000000000000007E-2</v>
      </c>
      <c r="Z31" s="22">
        <f>'info weging'!D16</f>
        <v>0.1</v>
      </c>
      <c r="AA31" s="22">
        <f>'info weging'!E16</f>
        <v>0.1</v>
      </c>
      <c r="AB31" s="22">
        <f>'info weging'!F16</f>
        <v>0.15</v>
      </c>
      <c r="AC31" s="23">
        <f>'info weging'!G16</f>
        <v>0.15</v>
      </c>
      <c r="AD31" s="23">
        <f>'info weging'!H16</f>
        <v>0.125</v>
      </c>
      <c r="AE31" s="75"/>
      <c r="AF31" s="70"/>
      <c r="AG31" s="70"/>
      <c r="AH31" s="70"/>
      <c r="AI31" s="70"/>
      <c r="AJ31" s="71"/>
      <c r="AK31" s="71"/>
      <c r="AL31" s="261"/>
      <c r="AM31" s="128"/>
      <c r="AN31" s="201">
        <f>'print Basis'!P26</f>
        <v>7.0000000000000007E-2</v>
      </c>
      <c r="AO31" s="128"/>
      <c r="AP31" s="621" t="e">
        <f>'print Basis'!Q26</f>
        <v>#VALUE!</v>
      </c>
      <c r="AQ31" s="5"/>
      <c r="AR31" s="779"/>
      <c r="AS31" s="20"/>
      <c r="AT31" s="20"/>
      <c r="AU31" s="20"/>
      <c r="BYT31" s="299"/>
      <c r="BYU31" s="782"/>
      <c r="BYV31" s="787" t="s">
        <v>87</v>
      </c>
      <c r="BYW31" s="788" t="s">
        <v>60</v>
      </c>
      <c r="BYX31" s="788" t="s">
        <v>88</v>
      </c>
      <c r="BYY31" s="789" t="e">
        <f>AE35*X35*X34</f>
        <v>#N/A</v>
      </c>
      <c r="BYZ31" s="789">
        <f>100*X35*X34</f>
        <v>15</v>
      </c>
      <c r="BZA31" s="790"/>
      <c r="BZB31" s="788" t="s">
        <v>88</v>
      </c>
      <c r="BZC31" s="789" t="e">
        <f>AF35*Y35*Y34</f>
        <v>#N/A</v>
      </c>
      <c r="BZD31" s="789">
        <f>100*Y35*Y34</f>
        <v>10</v>
      </c>
      <c r="BZE31" s="790"/>
      <c r="BZF31" s="788" t="s">
        <v>88</v>
      </c>
      <c r="BZG31" s="789" t="e">
        <f>AG35*Z35*Z34</f>
        <v>#N/A</v>
      </c>
      <c r="BZH31" s="789">
        <f>100*Z35*Z34</f>
        <v>10</v>
      </c>
      <c r="BZI31" s="790"/>
      <c r="BZJ31" s="788" t="s">
        <v>88</v>
      </c>
      <c r="BZK31" s="789" t="e">
        <f>AH35*AA35*AA34</f>
        <v>#N/A</v>
      </c>
      <c r="BZL31" s="789">
        <f>100*AA35*AA34</f>
        <v>5</v>
      </c>
      <c r="BZM31" s="790"/>
      <c r="BZN31" s="788" t="s">
        <v>88</v>
      </c>
      <c r="BZO31" s="789" t="e">
        <f>AI35*AB35*AB34</f>
        <v>#N/A</v>
      </c>
      <c r="BZP31" s="789">
        <f>100*G35*G34</f>
        <v>5</v>
      </c>
      <c r="BZQ31" s="790"/>
      <c r="BZR31" s="788" t="s">
        <v>88</v>
      </c>
      <c r="BZS31" s="788" t="e">
        <f>AJ35*AC35*AC34</f>
        <v>#N/A</v>
      </c>
      <c r="BZT31" s="788">
        <f>100*AC35*AC34</f>
        <v>5</v>
      </c>
      <c r="BZU31" s="782"/>
      <c r="BZV31" s="788" t="s">
        <v>88</v>
      </c>
      <c r="BZW31" s="788" t="e">
        <f>AK35*AD35*AD34</f>
        <v>#N/A</v>
      </c>
      <c r="BZX31" s="788">
        <f>100*AD35*AD34</f>
        <v>12.5</v>
      </c>
      <c r="BZY31" s="782"/>
      <c r="BZZ31" s="784"/>
      <c r="CAA31" s="281" t="str">
        <f t="shared" si="11"/>
        <v>toekomstgericht</v>
      </c>
      <c r="CAB31" s="283" t="e">
        <f t="shared" si="9"/>
        <v>#N/A</v>
      </c>
      <c r="CAC31" s="284">
        <f t="shared" si="10"/>
        <v>10</v>
      </c>
    </row>
    <row r="32" spans="1:47 2022:2057" ht="51" customHeight="1" x14ac:dyDescent="0.4">
      <c r="A32" s="12"/>
      <c r="B32" s="16">
        <f>1-B33</f>
        <v>0.9</v>
      </c>
      <c r="C32" s="16">
        <f t="shared" ref="C32:G32" si="12">1-C33</f>
        <v>0.9</v>
      </c>
      <c r="D32" s="16">
        <f t="shared" si="12"/>
        <v>0.9</v>
      </c>
      <c r="E32" s="16">
        <v>0.8</v>
      </c>
      <c r="F32" s="16">
        <f t="shared" si="12"/>
        <v>0.5</v>
      </c>
      <c r="G32" s="16">
        <f t="shared" si="12"/>
        <v>0.5</v>
      </c>
      <c r="H32" s="16"/>
      <c r="I32" s="16"/>
      <c r="J32" s="16"/>
      <c r="K32" s="452" t="s">
        <v>60</v>
      </c>
      <c r="L32" s="549" t="s">
        <v>89</v>
      </c>
      <c r="M32" s="551" t="str">
        <f>IF(N32="","         klik hier op linkermuisknop + selecteer via het pull down menu het gerealiseerd circulaire doel","")</f>
        <v xml:space="preserve">         klik hier op linkermuisknop + selecteer via het pull down menu het gerealiseerd circulaire doel</v>
      </c>
      <c r="N32" s="210"/>
      <c r="O32" s="20"/>
      <c r="P32" s="20"/>
      <c r="Q32" s="20"/>
      <c r="R32" s="20"/>
      <c r="S32" s="20"/>
      <c r="T32" s="20"/>
      <c r="U32" s="20"/>
      <c r="V32" s="128"/>
      <c r="W32" s="7">
        <f t="shared" si="8"/>
        <v>0.9</v>
      </c>
      <c r="X32" s="26">
        <f>'info weging'!B17</f>
        <v>0.9</v>
      </c>
      <c r="Y32" s="26">
        <f>'info weging'!C17</f>
        <v>0.9</v>
      </c>
      <c r="Z32" s="26">
        <f>'info weging'!D17</f>
        <v>0.9</v>
      </c>
      <c r="AA32" s="26">
        <f>'info weging'!E17</f>
        <v>0.8</v>
      </c>
      <c r="AB32" s="26">
        <f>'info weging'!F17</f>
        <v>0.5</v>
      </c>
      <c r="AC32" s="27">
        <f>'info weging'!G17</f>
        <v>0.5</v>
      </c>
      <c r="AD32" s="27">
        <f>'info weging'!H17</f>
        <v>0.9</v>
      </c>
      <c r="AE32" s="94" t="e">
        <f>VLOOKUP(N32,'info weging'!$A$36:$H$163,2,FALSE)</f>
        <v>#N/A</v>
      </c>
      <c r="AF32" s="8" t="e">
        <f>VLOOKUP(N32,'info weging'!$A$36:$H$163,3,FALSE)</f>
        <v>#N/A</v>
      </c>
      <c r="AG32" s="8" t="e">
        <f>VLOOKUP(N32,'info weging'!$A$36:$H$163,4,FALSE)</f>
        <v>#N/A</v>
      </c>
      <c r="AH32" s="8" t="e">
        <f>VLOOKUP(N32,'info weging'!$A$36:$H$163,5,FALSE)</f>
        <v>#N/A</v>
      </c>
      <c r="AI32" s="8" t="e">
        <f>VLOOKUP(N32,'info weging'!$A$36:$H$163,6,FALSE)</f>
        <v>#N/A</v>
      </c>
      <c r="AJ32" s="9" t="e">
        <f>VLOOKUP(N32,'info weging'!$A$36:$H$163,7,FALSE)</f>
        <v>#N/A</v>
      </c>
      <c r="AK32" s="9" t="e">
        <f>VLOOKUP(N32,'info weging'!$A$36:$H$163,8,FALSE)</f>
        <v>#N/A</v>
      </c>
      <c r="AL32" s="260" t="str">
        <f>IF(COUNTA(N32)=1,AE32*$AE$15+AF32*$AF$15+AG32*$AG$15+AH32*$AH$15+AI32*$AI$15+AJ32*$AJ$15+AK32*$AK$15,"----")</f>
        <v>----</v>
      </c>
      <c r="AM32" s="128"/>
      <c r="AN32" s="127">
        <f>'print Basis'!P27</f>
        <v>0.9</v>
      </c>
      <c r="AO32" s="128"/>
      <c r="AP32" s="622"/>
      <c r="AQ32" s="5"/>
      <c r="AR32" s="778"/>
      <c r="AS32" s="20"/>
      <c r="AT32" s="20"/>
      <c r="AU32" s="20"/>
      <c r="BYT32" s="299"/>
      <c r="BYU32" s="782"/>
      <c r="BYV32" s="787" t="s">
        <v>91</v>
      </c>
      <c r="BYW32" s="788" t="s">
        <v>60</v>
      </c>
      <c r="BYX32" s="788" t="s">
        <v>35</v>
      </c>
      <c r="BYY32" s="789" t="e">
        <f>AE37*X37*X36</f>
        <v>#N/A</v>
      </c>
      <c r="BYZ32" s="789">
        <f>100*X37*X36</f>
        <v>5</v>
      </c>
      <c r="BZA32" s="790"/>
      <c r="BZB32" s="788" t="s">
        <v>35</v>
      </c>
      <c r="BZC32" s="789" t="e">
        <f>AF37*Y37*Y36</f>
        <v>#N/A</v>
      </c>
      <c r="BZD32" s="789">
        <f>100*Y37*Y36</f>
        <v>7.0000000000000009</v>
      </c>
      <c r="BZE32" s="790"/>
      <c r="BZF32" s="788" t="s">
        <v>35</v>
      </c>
      <c r="BZG32" s="789" t="e">
        <f>AG37*Z37*Z36</f>
        <v>#N/A</v>
      </c>
      <c r="BZH32" s="789">
        <f>100*Z37*Z36</f>
        <v>13</v>
      </c>
      <c r="BZI32" s="790"/>
      <c r="BZJ32" s="788" t="s">
        <v>35</v>
      </c>
      <c r="BZK32" s="789" t="e">
        <f>AH37*AA37*AA36</f>
        <v>#N/A</v>
      </c>
      <c r="BZL32" s="789">
        <f>100*AA37*AA36</f>
        <v>15</v>
      </c>
      <c r="BZM32" s="790"/>
      <c r="BZN32" s="788" t="s">
        <v>35</v>
      </c>
      <c r="BZO32" s="789" t="e">
        <f>AI37*AB37*AB36</f>
        <v>#N/A</v>
      </c>
      <c r="BZP32" s="789">
        <f>100*G37*G36</f>
        <v>20</v>
      </c>
      <c r="BZQ32" s="790"/>
      <c r="BZR32" s="788" t="s">
        <v>35</v>
      </c>
      <c r="BZS32" s="788" t="e">
        <f>AJ37*AC37*AC36</f>
        <v>#N/A</v>
      </c>
      <c r="BZT32" s="788">
        <f>100*AC37*AC36</f>
        <v>20</v>
      </c>
      <c r="BZU32" s="782"/>
      <c r="BZV32" s="788" t="s">
        <v>35</v>
      </c>
      <c r="BZW32" s="788" t="e">
        <f>AK37*AD37*AD36</f>
        <v>#N/A</v>
      </c>
      <c r="BZX32" s="788">
        <f>100*AD37*AD36</f>
        <v>12.5</v>
      </c>
      <c r="BZY32" s="782"/>
      <c r="BZZ32" s="784"/>
      <c r="CAA32" s="281" t="str">
        <f t="shared" si="11"/>
        <v>beheer/onderhoud</v>
      </c>
      <c r="CAB32" s="283" t="e">
        <f t="shared" si="9"/>
        <v>#N/A</v>
      </c>
      <c r="CAC32" s="284">
        <f t="shared" si="10"/>
        <v>7.0000000000000009</v>
      </c>
    </row>
    <row r="33" spans="1:49 2022:2058" ht="40.200000000000003" customHeight="1" x14ac:dyDescent="0.4">
      <c r="A33" s="12"/>
      <c r="B33" s="16">
        <v>0.1</v>
      </c>
      <c r="C33" s="16">
        <v>0.1</v>
      </c>
      <c r="D33" s="16">
        <v>0.1</v>
      </c>
      <c r="E33" s="16">
        <v>0.2</v>
      </c>
      <c r="F33" s="16">
        <v>0.5</v>
      </c>
      <c r="G33" s="16">
        <v>0.5</v>
      </c>
      <c r="H33" s="16"/>
      <c r="I33" s="16"/>
      <c r="J33" s="16"/>
      <c r="K33" s="452" t="s">
        <v>73</v>
      </c>
      <c r="L33" s="549" t="s">
        <v>85</v>
      </c>
      <c r="M33" s="551" t="str">
        <f>IF(N33="","         klik hier op linkermuisknop + selecteer via het pull down menu het gerealiseerd circulaire doel","")</f>
        <v xml:space="preserve">         klik hier op linkermuisknop + selecteer via het pull down menu het gerealiseerd circulaire doel</v>
      </c>
      <c r="N33" s="210"/>
      <c r="O33" s="20"/>
      <c r="P33" s="20"/>
      <c r="Q33" s="20"/>
      <c r="R33" s="20"/>
      <c r="S33" s="20"/>
      <c r="T33" s="20"/>
      <c r="U33" s="20"/>
      <c r="V33" s="128"/>
      <c r="W33" s="7">
        <f t="shared" si="8"/>
        <v>0.1</v>
      </c>
      <c r="X33" s="26">
        <f>'info weging'!B18</f>
        <v>0.1</v>
      </c>
      <c r="Y33" s="26">
        <f>'info weging'!C18</f>
        <v>0.1</v>
      </c>
      <c r="Z33" s="26">
        <f>'info weging'!D18</f>
        <v>0.1</v>
      </c>
      <c r="AA33" s="26">
        <f>'info weging'!E18</f>
        <v>0.2</v>
      </c>
      <c r="AB33" s="26">
        <f>'info weging'!F18</f>
        <v>0.5</v>
      </c>
      <c r="AC33" s="27">
        <f>'info weging'!G18</f>
        <v>0.5</v>
      </c>
      <c r="AD33" s="27">
        <f>'info weging'!H18</f>
        <v>0.1</v>
      </c>
      <c r="AE33" s="94" t="e">
        <f>VLOOKUP(N33,'info weging'!$A$36:$H$163,2,FALSE)</f>
        <v>#N/A</v>
      </c>
      <c r="AF33" s="8" t="e">
        <f>VLOOKUP(N33,'info weging'!$A$36:$H$163,3,FALSE)</f>
        <v>#N/A</v>
      </c>
      <c r="AG33" s="8" t="e">
        <f>VLOOKUP(N33,'info weging'!$A$36:$H$163,4,FALSE)</f>
        <v>#N/A</v>
      </c>
      <c r="AH33" s="8" t="e">
        <f>VLOOKUP(N33,'info weging'!$A$36:$H$163,5,FALSE)</f>
        <v>#N/A</v>
      </c>
      <c r="AI33" s="8" t="e">
        <f>VLOOKUP(N33,'info weging'!$A$36:$H$163,6,FALSE)</f>
        <v>#N/A</v>
      </c>
      <c r="AJ33" s="9" t="e">
        <f>VLOOKUP(N33,'info weging'!$A$36:$H$163,7,FALSE)</f>
        <v>#N/A</v>
      </c>
      <c r="AK33" s="9" t="e">
        <f>VLOOKUP(N33,'info weging'!$A$36:$H$163,8,FALSE)</f>
        <v>#N/A</v>
      </c>
      <c r="AL33" s="260" t="str">
        <f>IF(COUNTA(N33)=1,AE33*$AE$15+AF33*$AF$15+AG33*$AG$15+AH33*$AH$15+AI33*$AI$15+AJ33*$AJ$15+AK33*$AK$15,"----")</f>
        <v>----</v>
      </c>
      <c r="AM33" s="128"/>
      <c r="AN33" s="127">
        <f>'print Basis'!P28</f>
        <v>0.1</v>
      </c>
      <c r="AO33" s="128"/>
      <c r="AP33" s="622"/>
      <c r="AQ33" s="5"/>
      <c r="AR33" s="778"/>
      <c r="AS33" s="20"/>
      <c r="AT33" s="20"/>
      <c r="AU33" s="20"/>
      <c r="AW33" t="s">
        <v>93</v>
      </c>
      <c r="BYT33" s="299"/>
      <c r="BYU33" s="782"/>
      <c r="BYV33" s="787" t="s">
        <v>94</v>
      </c>
      <c r="BYW33" s="788" t="s">
        <v>60</v>
      </c>
      <c r="BYX33" s="788" t="s">
        <v>95</v>
      </c>
      <c r="BYY33" s="789" t="e">
        <f>AE39*X39*X38</f>
        <v>#N/A</v>
      </c>
      <c r="BYZ33" s="789">
        <f>100*X39*X38</f>
        <v>2.5</v>
      </c>
      <c r="BZA33" s="790"/>
      <c r="BZB33" s="788" t="s">
        <v>95</v>
      </c>
      <c r="BZC33" s="789" t="e">
        <f>AF39*Y39*Y38</f>
        <v>#N/A</v>
      </c>
      <c r="BZD33" s="789">
        <f>100*Y39*Y38</f>
        <v>20</v>
      </c>
      <c r="BZE33" s="790"/>
      <c r="BZF33" s="788" t="s">
        <v>95</v>
      </c>
      <c r="BZG33" s="789" t="e">
        <f>AG39*Z39*Z38</f>
        <v>#N/A</v>
      </c>
      <c r="BZH33" s="789">
        <f>100*Z39*Z38</f>
        <v>10</v>
      </c>
      <c r="BZI33" s="790"/>
      <c r="BZJ33" s="788" t="s">
        <v>95</v>
      </c>
      <c r="BZK33" s="789" t="e">
        <f>AH39*AA39*AA38</f>
        <v>#N/A</v>
      </c>
      <c r="BZL33" s="789">
        <f>100*AA39*AA38</f>
        <v>10</v>
      </c>
      <c r="BZM33" s="790"/>
      <c r="BZN33" s="788" t="s">
        <v>95</v>
      </c>
      <c r="BZO33" s="789" t="e">
        <f>AI39*AB39*AB38</f>
        <v>#N/A</v>
      </c>
      <c r="BZP33" s="789">
        <f>100*G39*G38</f>
        <v>7.0000000000000009</v>
      </c>
      <c r="BZQ33" s="790"/>
      <c r="BZR33" s="788" t="s">
        <v>95</v>
      </c>
      <c r="BZS33" s="788" t="e">
        <f>AJ39*AC39*AC38</f>
        <v>#N/A</v>
      </c>
      <c r="BZT33" s="788">
        <f>100*AC39*AC38</f>
        <v>2</v>
      </c>
      <c r="BZU33" s="782"/>
      <c r="BZV33" s="788" t="s">
        <v>95</v>
      </c>
      <c r="BZW33" s="788" t="e">
        <f>AK39*AD39*AD38</f>
        <v>#N/A</v>
      </c>
      <c r="BZX33" s="788">
        <f>100*AD39*AD38</f>
        <v>10</v>
      </c>
      <c r="BZY33" s="782"/>
      <c r="BZZ33" s="784"/>
      <c r="CAA33" s="281" t="str">
        <f t="shared" si="11"/>
        <v>MKIberekening</v>
      </c>
      <c r="CAB33" s="283" t="e">
        <f t="shared" si="9"/>
        <v>#N/A</v>
      </c>
      <c r="CAC33" s="284">
        <f t="shared" si="10"/>
        <v>20</v>
      </c>
    </row>
    <row r="34" spans="1:49 2022:2058" ht="21" customHeight="1" x14ac:dyDescent="0.4">
      <c r="A34" s="12"/>
      <c r="B34" s="15">
        <v>0.15</v>
      </c>
      <c r="C34" s="15">
        <v>0.11</v>
      </c>
      <c r="D34" s="15">
        <v>0.1</v>
      </c>
      <c r="E34" s="15">
        <v>0.11</v>
      </c>
      <c r="F34" s="15">
        <v>0.1</v>
      </c>
      <c r="G34" s="15">
        <v>0.05</v>
      </c>
      <c r="H34" s="15"/>
      <c r="I34" s="15"/>
      <c r="J34" s="15"/>
      <c r="K34" s="99">
        <v>5</v>
      </c>
      <c r="L34" s="100" t="s">
        <v>96</v>
      </c>
      <c r="M34" s="101"/>
      <c r="N34" s="241"/>
      <c r="O34" s="20"/>
      <c r="P34" s="20"/>
      <c r="Q34" s="20"/>
      <c r="R34" s="20"/>
      <c r="S34" s="20"/>
      <c r="T34" s="20"/>
      <c r="U34" s="20">
        <v>5</v>
      </c>
      <c r="V34" s="128"/>
      <c r="W34" s="7">
        <f t="shared" si="8"/>
        <v>0.1</v>
      </c>
      <c r="X34" s="22">
        <f>'info weging'!B19</f>
        <v>0.15</v>
      </c>
      <c r="Y34" s="22">
        <f>'info weging'!C19</f>
        <v>0.1</v>
      </c>
      <c r="Z34" s="22">
        <f>'info weging'!D19</f>
        <v>0.1</v>
      </c>
      <c r="AA34" s="22">
        <f>'info weging'!E19</f>
        <v>0.05</v>
      </c>
      <c r="AB34" s="22">
        <f>'info weging'!F19</f>
        <v>0.05</v>
      </c>
      <c r="AC34" s="23">
        <f>'info weging'!G19</f>
        <v>0.05</v>
      </c>
      <c r="AD34" s="23">
        <f>'info weging'!H19</f>
        <v>0.125</v>
      </c>
      <c r="AE34" s="102"/>
      <c r="AF34" s="68"/>
      <c r="AG34" s="68"/>
      <c r="AH34" s="68"/>
      <c r="AI34" s="68"/>
      <c r="AJ34" s="69"/>
      <c r="AK34" s="69"/>
      <c r="AL34" s="262"/>
      <c r="AM34" s="128"/>
      <c r="AN34" s="201">
        <f>'print Basis'!P29</f>
        <v>0.1</v>
      </c>
      <c r="AO34" s="128"/>
      <c r="AP34" s="621" t="e">
        <f>'print Basis'!Q29</f>
        <v>#VALUE!</v>
      </c>
      <c r="AQ34" s="5"/>
      <c r="AR34" s="779"/>
      <c r="AS34" s="20"/>
      <c r="AT34" s="20"/>
      <c r="AU34" s="20"/>
      <c r="BYT34" s="299"/>
      <c r="BYU34" s="782"/>
      <c r="BYV34" s="788"/>
      <c r="BYW34" s="788" t="s">
        <v>73</v>
      </c>
      <c r="BYX34" s="788" t="s">
        <v>97</v>
      </c>
      <c r="BYY34" s="789" t="e">
        <f>AE40*X40*X38</f>
        <v>#N/A</v>
      </c>
      <c r="BYZ34" s="789">
        <f>100*X40*X38</f>
        <v>2.5</v>
      </c>
      <c r="BZA34" s="790"/>
      <c r="BZB34" s="788" t="s">
        <v>97</v>
      </c>
      <c r="BZC34" s="789" t="e">
        <f>AF40*Y40*Y38</f>
        <v>#N/A</v>
      </c>
      <c r="BZD34" s="789">
        <f>Y40*Y38*100</f>
        <v>4.9999999999999991</v>
      </c>
      <c r="BZE34" s="790"/>
      <c r="BZF34" s="788" t="s">
        <v>97</v>
      </c>
      <c r="BZG34" s="789" t="e">
        <f>AG40*Z40*Z38</f>
        <v>#N/A</v>
      </c>
      <c r="BZH34" s="789">
        <f>Z40*Z38*100</f>
        <v>10</v>
      </c>
      <c r="BZI34" s="790"/>
      <c r="BZJ34" s="788" t="s">
        <v>97</v>
      </c>
      <c r="BZK34" s="789" t="e">
        <f>AH40*AA40*AA38</f>
        <v>#N/A</v>
      </c>
      <c r="BZL34" s="789">
        <f>100*AA40*AA38</f>
        <v>10</v>
      </c>
      <c r="BZM34" s="790"/>
      <c r="BZN34" s="788" t="s">
        <v>97</v>
      </c>
      <c r="BZO34" s="789" t="e">
        <f>AI40*AB40*AB38</f>
        <v>#N/A</v>
      </c>
      <c r="BZP34" s="789">
        <f>G40*G38*100</f>
        <v>7.0000000000000009</v>
      </c>
      <c r="BZQ34" s="790"/>
      <c r="BZR34" s="788" t="s">
        <v>97</v>
      </c>
      <c r="BZS34" s="788" t="e">
        <f>AJ40*AC40*AC38</f>
        <v>#N/A</v>
      </c>
      <c r="BZT34" s="788">
        <f>AC40*AC38*100</f>
        <v>2</v>
      </c>
      <c r="BZU34" s="782"/>
      <c r="BZV34" s="788" t="s">
        <v>97</v>
      </c>
      <c r="BZW34" s="788" t="e">
        <f>AK40*AD40*AD38</f>
        <v>#N/A</v>
      </c>
      <c r="BZX34" s="788">
        <f>100*AD40*AD38</f>
        <v>2.4999999999999996</v>
      </c>
      <c r="BZY34" s="782"/>
      <c r="BZZ34" s="784"/>
      <c r="CAA34" s="281" t="str">
        <f t="shared" si="11"/>
        <v>CIberekening</v>
      </c>
      <c r="CAB34" s="283" t="e">
        <f t="shared" si="9"/>
        <v>#N/A</v>
      </c>
      <c r="CAC34" s="284">
        <f t="shared" si="10"/>
        <v>4.9999999999999991</v>
      </c>
    </row>
    <row r="35" spans="1:49 2022:2058" ht="46.2" customHeight="1" x14ac:dyDescent="0.4">
      <c r="A35" s="12"/>
      <c r="B35" s="16">
        <v>1</v>
      </c>
      <c r="C35" s="16">
        <v>1</v>
      </c>
      <c r="D35" s="16">
        <v>1</v>
      </c>
      <c r="E35" s="16">
        <v>1</v>
      </c>
      <c r="F35" s="16">
        <v>1</v>
      </c>
      <c r="G35" s="16">
        <v>1</v>
      </c>
      <c r="H35" s="16"/>
      <c r="I35" s="16"/>
      <c r="J35" s="16"/>
      <c r="K35" s="452" t="s">
        <v>60</v>
      </c>
      <c r="L35" s="549" t="s">
        <v>98</v>
      </c>
      <c r="M35" s="551" t="str">
        <f>IF(N35="","         klik hier op linkermuisknop + selecteer via het pull down menu het gerealiseerd circulaire doel","")</f>
        <v xml:space="preserve">         klik hier op linkermuisknop + selecteer via het pull down menu het gerealiseerd circulaire doel</v>
      </c>
      <c r="N35" s="210"/>
      <c r="O35" s="20"/>
      <c r="P35" s="20"/>
      <c r="Q35" s="20"/>
      <c r="R35" s="20"/>
      <c r="S35" s="20"/>
      <c r="T35" s="20"/>
      <c r="U35" s="20"/>
      <c r="V35" s="128"/>
      <c r="W35" s="7">
        <f t="shared" si="8"/>
        <v>1</v>
      </c>
      <c r="X35" s="26">
        <f>'info weging'!B20</f>
        <v>1</v>
      </c>
      <c r="Y35" s="26">
        <f>'info weging'!C20</f>
        <v>1</v>
      </c>
      <c r="Z35" s="26">
        <f>'info weging'!D20</f>
        <v>1</v>
      </c>
      <c r="AA35" s="26">
        <f>'info weging'!E20</f>
        <v>1</v>
      </c>
      <c r="AB35" s="26">
        <f>'info weging'!F20</f>
        <v>1</v>
      </c>
      <c r="AC35" s="27">
        <f>'info weging'!G20</f>
        <v>1</v>
      </c>
      <c r="AD35" s="27">
        <f>'info weging'!H20</f>
        <v>1</v>
      </c>
      <c r="AE35" s="93" t="e">
        <f>VLOOKUP(N35,'info weging'!$A$36:$H$163,2,FALSE)</f>
        <v>#N/A</v>
      </c>
      <c r="AF35" s="8" t="e">
        <f>VLOOKUP(N35,'info weging'!$A$36:$H$163,3,FALSE)</f>
        <v>#N/A</v>
      </c>
      <c r="AG35" s="8" t="e">
        <f>VLOOKUP(N35,'info weging'!$A$36:$H$163,4,FALSE)</f>
        <v>#N/A</v>
      </c>
      <c r="AH35" s="8" t="e">
        <f>VLOOKUP(N35,'info weging'!$A$36:$H$163,5,FALSE)</f>
        <v>#N/A</v>
      </c>
      <c r="AI35" s="8" t="e">
        <f>VLOOKUP(N35,'info weging'!$A$36:$H$163,6,FALSE)</f>
        <v>#N/A</v>
      </c>
      <c r="AJ35" s="9" t="e">
        <f>VLOOKUP(N35,'info weging'!$A$36:$H$163,7,FALSE)</f>
        <v>#N/A</v>
      </c>
      <c r="AK35" s="9" t="e">
        <f>VLOOKUP(N35,'info weging'!$A$36:$H$163,8,FALSE)</f>
        <v>#N/A</v>
      </c>
      <c r="AL35" s="260" t="str">
        <f>IF(COUNTA(N35)=1,AE35*$AE$15+AF35*$AF$15+AG35*$AG$15+AH35*$AH$15+AI35*$AI$15+AJ35*$AJ$15+AK35*$AK$15,"----")</f>
        <v>----</v>
      </c>
      <c r="AM35" s="128"/>
      <c r="AN35" s="127">
        <f>'print Basis'!P30</f>
        <v>1</v>
      </c>
      <c r="AO35" s="128"/>
      <c r="AP35" s="622"/>
      <c r="AQ35" s="5"/>
      <c r="AR35" s="778"/>
      <c r="AS35" s="20"/>
      <c r="AT35" s="20"/>
      <c r="AU35" s="20"/>
      <c r="BYT35" s="299"/>
      <c r="BYU35" s="782"/>
      <c r="BYV35" s="787" t="s">
        <v>100</v>
      </c>
      <c r="BYW35" s="788" t="s">
        <v>60</v>
      </c>
      <c r="BYX35" s="788" t="s">
        <v>101</v>
      </c>
      <c r="BYY35" s="789" t="e">
        <f>AE42*X42*X41</f>
        <v>#N/A</v>
      </c>
      <c r="BYZ35" s="789">
        <f>100*X42*X41</f>
        <v>2</v>
      </c>
      <c r="BZA35" s="790"/>
      <c r="BZB35" s="788" t="s">
        <v>101</v>
      </c>
      <c r="BZC35" s="789" t="e">
        <f>AF42*Y42*Y41</f>
        <v>#N/A</v>
      </c>
      <c r="BZD35" s="789">
        <f>100*Y42*Y41</f>
        <v>10</v>
      </c>
      <c r="BZE35" s="790"/>
      <c r="BZF35" s="788" t="s">
        <v>101</v>
      </c>
      <c r="BZG35" s="789" t="e">
        <f>AG42*Z42*Z41</f>
        <v>#N/A</v>
      </c>
      <c r="BZH35" s="789">
        <f>100*Z42*Z41</f>
        <v>10</v>
      </c>
      <c r="BZI35" s="790"/>
      <c r="BZJ35" s="788" t="s">
        <v>101</v>
      </c>
      <c r="BZK35" s="789" t="e">
        <f>AH42*AA42*AA41</f>
        <v>#N/A</v>
      </c>
      <c r="BZL35" s="789">
        <f>100*AA42*AA41</f>
        <v>10</v>
      </c>
      <c r="BZM35" s="790"/>
      <c r="BZN35" s="788" t="s">
        <v>101</v>
      </c>
      <c r="BZO35" s="789" t="e">
        <f>AI42*AB42*AB41</f>
        <v>#N/A</v>
      </c>
      <c r="BZP35" s="789">
        <f>100*G42*G41</f>
        <v>5</v>
      </c>
      <c r="BZQ35" s="790"/>
      <c r="BZR35" s="788" t="s">
        <v>101</v>
      </c>
      <c r="BZS35" s="788" t="e">
        <f>AJ42*AC42*AC41</f>
        <v>#N/A</v>
      </c>
      <c r="BZT35" s="788">
        <f>100*AC42*AC41</f>
        <v>10</v>
      </c>
      <c r="BZU35" s="782"/>
      <c r="BZV35" s="788" t="s">
        <v>101</v>
      </c>
      <c r="BZW35" s="788" t="e">
        <f>AK42*AD42*AD41</f>
        <v>#N/A</v>
      </c>
      <c r="BZX35" s="788">
        <f>100*AD42*AD41</f>
        <v>12.5</v>
      </c>
      <c r="BZY35" s="782"/>
      <c r="BZZ35" s="784"/>
      <c r="CAA35" s="281" t="str">
        <f t="shared" si="11"/>
        <v>CO2berekening</v>
      </c>
      <c r="CAB35" s="283" t="e">
        <f t="shared" si="9"/>
        <v>#N/A</v>
      </c>
      <c r="CAC35" s="284">
        <f t="shared" si="10"/>
        <v>10</v>
      </c>
    </row>
    <row r="36" spans="1:49 2022:2058" ht="21" customHeight="1" x14ac:dyDescent="0.4">
      <c r="A36" s="12"/>
      <c r="B36" s="15">
        <v>0.1</v>
      </c>
      <c r="C36" s="15">
        <v>0.11</v>
      </c>
      <c r="D36" s="15">
        <v>0.1</v>
      </c>
      <c r="E36" s="15">
        <v>0.14000000000000001</v>
      </c>
      <c r="F36" s="15">
        <v>0.15</v>
      </c>
      <c r="G36" s="15">
        <v>0.2</v>
      </c>
      <c r="H36" s="15"/>
      <c r="I36" s="15"/>
      <c r="J36" s="15"/>
      <c r="K36" s="86">
        <v>6</v>
      </c>
      <c r="L36" s="45" t="s">
        <v>102</v>
      </c>
      <c r="M36" s="42"/>
      <c r="N36" s="242"/>
      <c r="O36" s="20"/>
      <c r="P36" s="20"/>
      <c r="Q36" s="20"/>
      <c r="R36" s="20"/>
      <c r="S36" s="20"/>
      <c r="T36" s="20"/>
      <c r="U36" s="20">
        <v>6</v>
      </c>
      <c r="V36" s="128"/>
      <c r="W36" s="7">
        <f t="shared" si="8"/>
        <v>7.0000000000000007E-2</v>
      </c>
      <c r="X36" s="22">
        <f>'info weging'!B21</f>
        <v>0.05</v>
      </c>
      <c r="Y36" s="22">
        <f>'info weging'!C21</f>
        <v>7.0000000000000007E-2</v>
      </c>
      <c r="Z36" s="22">
        <f>'info weging'!D21</f>
        <v>0.13</v>
      </c>
      <c r="AA36" s="22">
        <f>'info weging'!E21</f>
        <v>0.15</v>
      </c>
      <c r="AB36" s="22">
        <f>'info weging'!F21</f>
        <v>0.15</v>
      </c>
      <c r="AC36" s="23">
        <f>'info weging'!G21</f>
        <v>0.2</v>
      </c>
      <c r="AD36" s="23">
        <f>'info weging'!H21</f>
        <v>0.125</v>
      </c>
      <c r="AE36" s="76"/>
      <c r="AF36" s="66"/>
      <c r="AG36" s="66"/>
      <c r="AH36" s="66"/>
      <c r="AI36" s="66"/>
      <c r="AJ36" s="67"/>
      <c r="AK36" s="67"/>
      <c r="AL36" s="263"/>
      <c r="AM36" s="128"/>
      <c r="AN36" s="201">
        <f>'print Basis'!P31</f>
        <v>7.0000000000000007E-2</v>
      </c>
      <c r="AO36" s="128"/>
      <c r="AP36" s="621" t="e">
        <f>'print Basis'!Q31</f>
        <v>#VALUE!</v>
      </c>
      <c r="AQ36" s="5"/>
      <c r="AR36" s="779"/>
      <c r="AS36" s="20"/>
      <c r="AT36" s="20"/>
      <c r="AU36" s="20"/>
      <c r="BYT36" s="299"/>
      <c r="BYU36" s="782"/>
      <c r="BYV36" s="788"/>
      <c r="BYW36" s="788"/>
      <c r="BYX36" s="788" t="s">
        <v>103</v>
      </c>
      <c r="BYY36" s="789" t="e">
        <f>100-BYY37</f>
        <v>#N/A</v>
      </c>
      <c r="BYZ36" s="788">
        <v>0</v>
      </c>
      <c r="BZA36" s="790"/>
      <c r="BZB36" s="788" t="s">
        <v>103</v>
      </c>
      <c r="BZC36" s="789" t="e">
        <f>100-BZC37</f>
        <v>#N/A</v>
      </c>
      <c r="BZD36" s="788">
        <v>0</v>
      </c>
      <c r="BZE36" s="790"/>
      <c r="BZF36" s="788" t="s">
        <v>103</v>
      </c>
      <c r="BZG36" s="789" t="e">
        <f>100-BZG37</f>
        <v>#N/A</v>
      </c>
      <c r="BZH36" s="788">
        <v>0</v>
      </c>
      <c r="BZI36" s="790"/>
      <c r="BZJ36" s="788" t="s">
        <v>103</v>
      </c>
      <c r="BZK36" s="789" t="e">
        <f>100-BZK37</f>
        <v>#N/A</v>
      </c>
      <c r="BZL36" s="788">
        <v>0</v>
      </c>
      <c r="BZM36" s="790"/>
      <c r="BZN36" s="788" t="s">
        <v>103</v>
      </c>
      <c r="BZO36" s="789" t="e">
        <f>100-BZO37</f>
        <v>#N/A</v>
      </c>
      <c r="BZP36" s="788">
        <v>0</v>
      </c>
      <c r="BZQ36" s="790"/>
      <c r="BZR36" s="788" t="s">
        <v>103</v>
      </c>
      <c r="BZS36" s="789" t="e">
        <f>100-BZS37</f>
        <v>#N/A</v>
      </c>
      <c r="BZT36" s="788">
        <v>0</v>
      </c>
      <c r="BZU36" s="782"/>
      <c r="BZV36" s="788" t="s">
        <v>103</v>
      </c>
      <c r="BZW36" s="789" t="e">
        <f>100-BZW37</f>
        <v>#N/A</v>
      </c>
      <c r="BZX36" s="788">
        <v>0</v>
      </c>
      <c r="BZY36" s="782"/>
      <c r="BZZ36" s="784"/>
      <c r="CAA36" s="714" t="s">
        <v>321</v>
      </c>
      <c r="CAB36" s="283">
        <f>AP44</f>
        <v>0</v>
      </c>
      <c r="CAC36" s="714"/>
    </row>
    <row r="37" spans="1:49 2022:2058" ht="40.200000000000003" customHeight="1" x14ac:dyDescent="0.4">
      <c r="A37" s="12"/>
      <c r="B37" s="16">
        <v>1</v>
      </c>
      <c r="C37" s="16">
        <v>1</v>
      </c>
      <c r="D37" s="16">
        <v>1</v>
      </c>
      <c r="E37" s="16">
        <v>1</v>
      </c>
      <c r="F37" s="16">
        <v>1</v>
      </c>
      <c r="G37" s="16">
        <v>1</v>
      </c>
      <c r="H37" s="16"/>
      <c r="I37" s="16"/>
      <c r="J37" s="16"/>
      <c r="K37" s="452" t="s">
        <v>60</v>
      </c>
      <c r="L37" s="549" t="s">
        <v>104</v>
      </c>
      <c r="M37" s="551" t="str">
        <f>IF(N37="","         klik hier op linkermuisknop + selecteer via het pull down menu het gerealiseerd circulaire doel","")</f>
        <v xml:space="preserve">         klik hier op linkermuisknop + selecteer via het pull down menu het gerealiseerd circulaire doel</v>
      </c>
      <c r="N37" s="210"/>
      <c r="O37" s="20"/>
      <c r="P37" s="20"/>
      <c r="Q37" s="20"/>
      <c r="R37" s="20"/>
      <c r="S37" s="20"/>
      <c r="T37" s="20"/>
      <c r="U37" s="20"/>
      <c r="V37" s="128"/>
      <c r="W37" s="7">
        <f t="shared" si="8"/>
        <v>1</v>
      </c>
      <c r="X37" s="26">
        <f>'info weging'!B22</f>
        <v>1</v>
      </c>
      <c r="Y37" s="26">
        <f>'info weging'!C22</f>
        <v>1</v>
      </c>
      <c r="Z37" s="26">
        <f>'info weging'!D22</f>
        <v>1</v>
      </c>
      <c r="AA37" s="26">
        <f>'info weging'!E22</f>
        <v>1</v>
      </c>
      <c r="AB37" s="26">
        <f>'info weging'!F22</f>
        <v>1</v>
      </c>
      <c r="AC37" s="27">
        <f>'info weging'!G22</f>
        <v>1</v>
      </c>
      <c r="AD37" s="27">
        <f>'info weging'!H22</f>
        <v>1</v>
      </c>
      <c r="AE37" s="98" t="e">
        <f>VLOOKUP(N37,'info weging'!$A$36:$H$163,2,FALSE)</f>
        <v>#N/A</v>
      </c>
      <c r="AF37" s="8" t="e">
        <f>VLOOKUP(N37,'info weging'!$A$36:$H$163,3,FALSE)</f>
        <v>#N/A</v>
      </c>
      <c r="AG37" s="8" t="e">
        <f>VLOOKUP(N37,'info weging'!$A$36:$H$163,4,FALSE)</f>
        <v>#N/A</v>
      </c>
      <c r="AH37" s="8" t="e">
        <f>VLOOKUP(N37,'info weging'!$A$36:$H$163,5,FALSE)</f>
        <v>#N/A</v>
      </c>
      <c r="AI37" s="8" t="e">
        <f>VLOOKUP(N37,'info weging'!$A$36:$H$163,6,FALSE)</f>
        <v>#N/A</v>
      </c>
      <c r="AJ37" s="9" t="e">
        <f>VLOOKUP(N37,'info weging'!$A$36:$H$163,7,FALSE)</f>
        <v>#N/A</v>
      </c>
      <c r="AK37" s="9" t="e">
        <f>VLOOKUP(N37,'info weging'!$A$36:$H$163,8,FALSE)</f>
        <v>#N/A</v>
      </c>
      <c r="AL37" s="260" t="str">
        <f>IF(COUNTA(N37)=1,AE37*$AE$15+AF37*$AF$15+AG37*$AG$15+AH37*$AH$15+AI37*$AI$15+AJ37*$AJ$15+AK37*$AK$15,"----")</f>
        <v>----</v>
      </c>
      <c r="AM37" s="128"/>
      <c r="AN37" s="127">
        <f>'print Basis'!P32</f>
        <v>1</v>
      </c>
      <c r="AO37" s="128"/>
      <c r="AP37" s="622"/>
      <c r="AQ37" s="5"/>
      <c r="AR37" s="778"/>
      <c r="AS37" s="20"/>
      <c r="AT37" s="20"/>
      <c r="AU37" s="20"/>
      <c r="BYT37" s="299"/>
      <c r="BYU37" s="782"/>
      <c r="BYV37" s="788"/>
      <c r="BYW37" s="788"/>
      <c r="BYX37" s="788" t="s">
        <v>106</v>
      </c>
      <c r="BYY37" s="789" t="e">
        <f>SUM(BYY24:BYY35)</f>
        <v>#N/A</v>
      </c>
      <c r="BYZ37" s="789">
        <f>SUM(BYZ24:BYZ36)</f>
        <v>100</v>
      </c>
      <c r="BZA37" s="790"/>
      <c r="BZB37" s="790" t="s">
        <v>106</v>
      </c>
      <c r="BZC37" s="789" t="e">
        <f>SUM(BZC24:BZC35)</f>
        <v>#N/A</v>
      </c>
      <c r="BZD37" s="789">
        <f>SUM(BZD24:BZD36)</f>
        <v>100</v>
      </c>
      <c r="BZE37" s="790"/>
      <c r="BZF37" s="790" t="s">
        <v>106</v>
      </c>
      <c r="BZG37" s="789" t="e">
        <f>SUM(BZG24:BZG35)</f>
        <v>#N/A</v>
      </c>
      <c r="BZH37" s="789">
        <f>SUM(BZH24:BZH36)</f>
        <v>100</v>
      </c>
      <c r="BZI37" s="790"/>
      <c r="BZJ37" s="790" t="s">
        <v>106</v>
      </c>
      <c r="BZK37" s="789" t="e">
        <f>SUM(BZK24:BZK35)</f>
        <v>#N/A</v>
      </c>
      <c r="BZL37" s="789">
        <f>SUM(BZL24:BZL36)</f>
        <v>100</v>
      </c>
      <c r="BZM37" s="790"/>
      <c r="BZN37" s="790" t="s">
        <v>106</v>
      </c>
      <c r="BZO37" s="789" t="e">
        <f>SUM(BZO24:BZO35)</f>
        <v>#N/A</v>
      </c>
      <c r="BZP37" s="789" t="e">
        <f>SUM(#REF!)</f>
        <v>#REF!</v>
      </c>
      <c r="BZQ37" s="790"/>
      <c r="BZR37" s="790" t="s">
        <v>106</v>
      </c>
      <c r="BZS37" s="789" t="e">
        <f>SUM(BZS24:BZS35)</f>
        <v>#N/A</v>
      </c>
      <c r="BZT37" s="789">
        <f>SUM(BZT24:BZT36)</f>
        <v>100</v>
      </c>
      <c r="BZU37" s="782"/>
      <c r="BZV37" s="790" t="s">
        <v>106</v>
      </c>
      <c r="BZW37" s="789" t="e">
        <f>SUM(BZW24:BZW35)</f>
        <v>#N/A</v>
      </c>
      <c r="BZX37" s="789">
        <f>SUM(BZX24:BZX36)</f>
        <v>100</v>
      </c>
      <c r="BZY37" s="782"/>
      <c r="BZZ37" s="784"/>
      <c r="CAA37" s="281" t="str">
        <f>BZV36</f>
        <v>rest</v>
      </c>
      <c r="CAB37" s="738" t="e">
        <f>BYY36*$BYY$15+BZC36*$BZC$15+BZG36*$BZG$15+BZK36*$BZK$15+BZO36*$BZO$15+BZS36*$BZS$15+BZW36*$BZW$15-CAB36</f>
        <v>#N/A</v>
      </c>
      <c r="CAC37" s="284">
        <f>BYZ36*$BYY$15+BZD36*$BZC$15+BZH36*$BZG$15+BZL36*$BZK$15+BZP36*$BZO$15+BZT36*$BZS$15+BZX36*$BZW$15</f>
        <v>0</v>
      </c>
    </row>
    <row r="38" spans="1:49 2022:2058" ht="21" customHeight="1" x14ac:dyDescent="0.4">
      <c r="A38" s="12"/>
      <c r="B38" s="15">
        <v>0.15</v>
      </c>
      <c r="C38" s="15">
        <v>0.18</v>
      </c>
      <c r="D38" s="15">
        <v>0.15</v>
      </c>
      <c r="E38" s="15">
        <v>0.13</v>
      </c>
      <c r="F38" s="15">
        <v>0.125</v>
      </c>
      <c r="G38" s="15">
        <v>0.14000000000000001</v>
      </c>
      <c r="H38" s="15"/>
      <c r="I38" s="15"/>
      <c r="J38" s="15"/>
      <c r="K38" s="87">
        <v>7</v>
      </c>
      <c r="L38" s="51" t="s">
        <v>354</v>
      </c>
      <c r="M38" s="52"/>
      <c r="N38" s="243"/>
      <c r="O38" s="20"/>
      <c r="P38" s="20"/>
      <c r="Q38" s="20"/>
      <c r="R38" s="20"/>
      <c r="S38" s="20"/>
      <c r="T38" s="20"/>
      <c r="U38" s="20">
        <v>7</v>
      </c>
      <c r="V38" s="128"/>
      <c r="W38" s="7">
        <f t="shared" si="8"/>
        <v>0.25</v>
      </c>
      <c r="X38" s="22">
        <f>'info weging'!B23</f>
        <v>0.05</v>
      </c>
      <c r="Y38" s="22">
        <f>'info weging'!C23</f>
        <v>0.25</v>
      </c>
      <c r="Z38" s="22">
        <f>'info weging'!D23</f>
        <v>0.2</v>
      </c>
      <c r="AA38" s="22">
        <f>'info weging'!E23</f>
        <v>0.2</v>
      </c>
      <c r="AB38" s="22">
        <f>'info weging'!F23</f>
        <v>0.2</v>
      </c>
      <c r="AC38" s="23">
        <f>'info weging'!G23</f>
        <v>0.04</v>
      </c>
      <c r="AD38" s="23">
        <f>'info weging'!H23</f>
        <v>0.125</v>
      </c>
      <c r="AE38" s="77"/>
      <c r="AF38" s="62"/>
      <c r="AG38" s="62"/>
      <c r="AH38" s="62"/>
      <c r="AI38" s="62"/>
      <c r="AJ38" s="63"/>
      <c r="AK38" s="63"/>
      <c r="AL38" s="264"/>
      <c r="AM38" s="128"/>
      <c r="AN38" s="201">
        <f>'print Basis'!P33</f>
        <v>0.25</v>
      </c>
      <c r="AO38" s="128"/>
      <c r="AP38" s="621" t="e">
        <f>'print Basis'!Q33</f>
        <v>#VALUE!</v>
      </c>
      <c r="AQ38" s="5"/>
      <c r="AR38" s="779"/>
      <c r="AS38" s="20"/>
      <c r="AT38" s="20"/>
      <c r="AU38" s="20"/>
      <c r="BYT38" s="299"/>
      <c r="BYU38" s="782"/>
      <c r="BYV38" s="782"/>
      <c r="BYW38" s="782"/>
      <c r="BYX38" s="782"/>
      <c r="BYY38" s="791"/>
      <c r="BYZ38" s="791"/>
      <c r="BZA38" s="792"/>
      <c r="BZB38" s="792"/>
      <c r="BZC38" s="791"/>
      <c r="BZD38" s="791"/>
      <c r="BZE38" s="792"/>
      <c r="BZF38" s="791"/>
      <c r="BZG38" s="791"/>
      <c r="BZH38" s="791"/>
      <c r="BZI38" s="792"/>
      <c r="BZJ38" s="791"/>
      <c r="BZK38" s="791"/>
      <c r="BZL38" s="791"/>
      <c r="BZM38" s="792"/>
      <c r="BZN38" s="791"/>
      <c r="BZO38" s="791"/>
      <c r="BZP38" s="791"/>
      <c r="BZQ38" s="792"/>
      <c r="BZR38" s="782"/>
      <c r="BZS38" s="782"/>
      <c r="BZT38" s="782"/>
      <c r="BZU38" s="782"/>
      <c r="BZV38" s="782"/>
      <c r="BZW38" s="782"/>
      <c r="BZX38" s="782"/>
      <c r="BZY38" s="782"/>
      <c r="BZZ38" s="784"/>
      <c r="CAA38" s="281" t="str">
        <f>BZV37</f>
        <v>totaal</v>
      </c>
      <c r="CAB38" s="283" t="e">
        <f>BYY37*$BYY$15+BZC37*$BZC$15+BZG37*$BZG$15+BZK37*$BZK$15+BZO37*$BZO$15+BZS37*$BZS$15+BZW37*$BZW$15</f>
        <v>#N/A</v>
      </c>
      <c r="CAC38" s="284" t="e">
        <f>BYZ37*$BYY$15+BZD37*$BZC$15+BZH37*$BZG$15+BZL37*$BZK$15+BZP37*$BZO$15+BZT37*$BZS$15+BZX37*$BZW$15</f>
        <v>#REF!</v>
      </c>
      <c r="CAD38" s="781">
        <f>SUM(CAC30:CAC37)</f>
        <v>52.7</v>
      </c>
    </row>
    <row r="39" spans="1:49 2022:2058" ht="40.200000000000003" customHeight="1" x14ac:dyDescent="0.4">
      <c r="A39" s="12"/>
      <c r="B39" s="16">
        <v>0.5</v>
      </c>
      <c r="C39" s="16">
        <v>0.5</v>
      </c>
      <c r="D39" s="16">
        <v>0.5</v>
      </c>
      <c r="E39" s="16">
        <v>0.5</v>
      </c>
      <c r="F39" s="16">
        <v>0.5</v>
      </c>
      <c r="G39" s="16">
        <v>0.5</v>
      </c>
      <c r="H39" s="16"/>
      <c r="I39" s="16"/>
      <c r="J39" s="237" t="e">
        <f>BZJ53</f>
        <v>#N/A</v>
      </c>
      <c r="K39" s="452" t="s">
        <v>60</v>
      </c>
      <c r="L39" s="549" t="s">
        <v>108</v>
      </c>
      <c r="M39" s="551" t="str">
        <f>IF(N39="","         klik hier op linkermuisknop + selecteer via het pull down menu het gerealiseerd circulaire doel","")</f>
        <v xml:space="preserve">         klik hier op linkermuisknop + selecteer via het pull down menu het gerealiseerd circulaire doel</v>
      </c>
      <c r="N39" s="210"/>
      <c r="O39" s="20"/>
      <c r="P39" s="20"/>
      <c r="Q39" s="20"/>
      <c r="R39" s="20"/>
      <c r="S39" s="20"/>
      <c r="T39" s="20"/>
      <c r="U39" s="20"/>
      <c r="V39" s="128"/>
      <c r="W39" s="7">
        <f t="shared" si="8"/>
        <v>0.8</v>
      </c>
      <c r="X39" s="26">
        <f>'info weging'!B24</f>
        <v>0.5</v>
      </c>
      <c r="Y39" s="26">
        <f>'info weging'!C24</f>
        <v>0.8</v>
      </c>
      <c r="Z39" s="26">
        <f>'info weging'!D24</f>
        <v>0.5</v>
      </c>
      <c r="AA39" s="26">
        <f>'info weging'!E24</f>
        <v>0.5</v>
      </c>
      <c r="AB39" s="26">
        <f>'info weging'!F24</f>
        <v>0.5</v>
      </c>
      <c r="AC39" s="27">
        <f>'info weging'!G24</f>
        <v>0.5</v>
      </c>
      <c r="AD39" s="27">
        <f>'info weging'!H24</f>
        <v>0.8</v>
      </c>
      <c r="AE39" s="106" t="e">
        <f>VLOOKUP(N39,'info weging'!$A$36:$H$163,2,FALSE)</f>
        <v>#N/A</v>
      </c>
      <c r="AF39" s="8" t="e">
        <f>VLOOKUP(N39,'info weging'!$A$36:$H$163,3,FALSE)</f>
        <v>#N/A</v>
      </c>
      <c r="AG39" s="8" t="e">
        <f>VLOOKUP(N39,'info weging'!$A$36:$H$163,4,FALSE)</f>
        <v>#N/A</v>
      </c>
      <c r="AH39" s="8" t="e">
        <f>VLOOKUP(N39,'info weging'!$A$36:$H$163,5,FALSE)</f>
        <v>#N/A</v>
      </c>
      <c r="AI39" s="8" t="e">
        <f>VLOOKUP(N39,'info weging'!$A$36:$H$163,6,FALSE)</f>
        <v>#N/A</v>
      </c>
      <c r="AJ39" s="9" t="e">
        <f>VLOOKUP(N39,'info weging'!$A$36:$H$163,7,FALSE)</f>
        <v>#N/A</v>
      </c>
      <c r="AK39" s="9" t="e">
        <f>VLOOKUP(N39,'info weging'!$A$36:$H$163,8,FALSE)</f>
        <v>#N/A</v>
      </c>
      <c r="AL39" s="260" t="str">
        <f>IF(COUNTA(N39)=1,AE39*$AE$15+AF39*$AF$15+AG39*$AG$15+AH39*$AH$15+AI39*$AI$15+AJ39*$AJ$15+AK39*$AK$15,"----")</f>
        <v>----</v>
      </c>
      <c r="AM39" s="128"/>
      <c r="AN39" s="127">
        <f>'print Basis'!P34</f>
        <v>0.8</v>
      </c>
      <c r="AO39" s="128"/>
      <c r="AP39" s="622"/>
      <c r="AQ39" s="5"/>
      <c r="AR39" s="778" t="s">
        <v>93</v>
      </c>
      <c r="AS39" s="20"/>
      <c r="AT39" s="20"/>
      <c r="AU39" s="20"/>
      <c r="BYT39" s="299"/>
      <c r="BYU39" s="782"/>
      <c r="BYV39" s="782"/>
      <c r="BYW39" s="782"/>
      <c r="BYX39" s="782"/>
      <c r="BYY39" s="782"/>
      <c r="BYZ39" s="782"/>
      <c r="BZA39" s="782"/>
      <c r="BZB39" s="782"/>
      <c r="BZC39" s="782"/>
      <c r="BZD39" s="782"/>
      <c r="BZE39" s="782"/>
      <c r="BZF39" s="782"/>
      <c r="BZG39" s="782"/>
      <c r="BZH39" s="782"/>
      <c r="BZI39" s="782"/>
      <c r="BZJ39" s="782"/>
      <c r="BZK39" s="782"/>
      <c r="BZL39" s="782"/>
      <c r="BZM39" s="782"/>
      <c r="BZN39" s="782"/>
      <c r="BZO39" s="782"/>
      <c r="BZP39" s="782"/>
      <c r="BZQ39" s="782"/>
      <c r="BZR39" s="782"/>
      <c r="BZS39" s="782"/>
      <c r="BZT39" s="782"/>
      <c r="BZU39" s="782"/>
      <c r="BZV39" s="782"/>
      <c r="BZW39" s="782"/>
      <c r="BZX39" s="782"/>
      <c r="BZY39" s="782"/>
      <c r="BZZ39" s="784"/>
      <c r="CAA39" s="281"/>
      <c r="CAB39" s="283" t="e">
        <f>SUM(CAB24:CAB38)</f>
        <v>#N/A</v>
      </c>
      <c r="CAC39" s="282"/>
    </row>
    <row r="40" spans="1:49 2022:2058" ht="40.200000000000003" customHeight="1" x14ac:dyDescent="0.4">
      <c r="A40" s="12"/>
      <c r="B40" s="16">
        <f>1-B39</f>
        <v>0.5</v>
      </c>
      <c r="C40" s="16">
        <f t="shared" ref="C40:G40" si="13">1-C39</f>
        <v>0.5</v>
      </c>
      <c r="D40" s="16">
        <f t="shared" si="13"/>
        <v>0.5</v>
      </c>
      <c r="E40" s="16">
        <f t="shared" si="13"/>
        <v>0.5</v>
      </c>
      <c r="F40" s="16">
        <f t="shared" si="13"/>
        <v>0.5</v>
      </c>
      <c r="G40" s="16">
        <f t="shared" si="13"/>
        <v>0.5</v>
      </c>
      <c r="H40" s="16"/>
      <c r="I40" s="16"/>
      <c r="J40" s="16"/>
      <c r="K40" s="452" t="s">
        <v>73</v>
      </c>
      <c r="L40" s="549" t="s">
        <v>110</v>
      </c>
      <c r="M40" s="551" t="str">
        <f>IF(N40="","         klik hier op linkermuisknop + selecteer via het pull down menu het gerealiseerd circulaire doel","")</f>
        <v xml:space="preserve">         klik hier op linkermuisknop + selecteer via het pull down menu het gerealiseerd circulaire doel</v>
      </c>
      <c r="N40" s="210"/>
      <c r="O40" s="20"/>
      <c r="P40" s="20"/>
      <c r="Q40" s="20"/>
      <c r="R40" s="20"/>
      <c r="S40" s="20"/>
      <c r="T40" s="20"/>
      <c r="U40" s="20"/>
      <c r="V40" s="128"/>
      <c r="W40" s="7">
        <f t="shared" si="8"/>
        <v>0.19999999999999996</v>
      </c>
      <c r="X40" s="26">
        <f>'info weging'!B25</f>
        <v>0.5</v>
      </c>
      <c r="Y40" s="26">
        <f>'info weging'!C25</f>
        <v>0.19999999999999996</v>
      </c>
      <c r="Z40" s="26">
        <f>'info weging'!D25</f>
        <v>0.5</v>
      </c>
      <c r="AA40" s="26">
        <f>'info weging'!E25</f>
        <v>0.5</v>
      </c>
      <c r="AB40" s="26">
        <f>'info weging'!F25</f>
        <v>0.5</v>
      </c>
      <c r="AC40" s="27">
        <f>'info weging'!G25</f>
        <v>0.5</v>
      </c>
      <c r="AD40" s="27">
        <f>'info weging'!H25</f>
        <v>0.19999999999999996</v>
      </c>
      <c r="AE40" s="106" t="e">
        <f>VLOOKUP(N40,'info weging'!$A$36:$H$163,2,FALSE)</f>
        <v>#N/A</v>
      </c>
      <c r="AF40" s="8" t="e">
        <f>VLOOKUP(N40,'info weging'!$A$36:$H$163,3,FALSE)</f>
        <v>#N/A</v>
      </c>
      <c r="AG40" s="8" t="e">
        <f>VLOOKUP(N40,'info weging'!$A$36:$H$163,4,FALSE)</f>
        <v>#N/A</v>
      </c>
      <c r="AH40" s="8" t="e">
        <f>VLOOKUP(N40,'info weging'!$A$36:$H$163,5,FALSE)</f>
        <v>#N/A</v>
      </c>
      <c r="AI40" s="8" t="e">
        <f>VLOOKUP(N40,'info weging'!$A$36:$H$163,6,FALSE)</f>
        <v>#N/A</v>
      </c>
      <c r="AJ40" s="9" t="e">
        <f>VLOOKUP(N40,'info weging'!$A$36:$H$163,7,FALSE)</f>
        <v>#N/A</v>
      </c>
      <c r="AK40" s="9" t="e">
        <f>VLOOKUP(N40,'info weging'!$A$36:$H$163,8,FALSE)</f>
        <v>#N/A</v>
      </c>
      <c r="AL40" s="260" t="str">
        <f>IF(COUNTA(N40)=1,AE40*$AE$15+AF40*$AF$15+AG40*$AG$15+AH40*$AH$15+AI40*$AI$15+AJ40*$AJ$15+AK40*$AK$15,"----")</f>
        <v>----</v>
      </c>
      <c r="AM40" s="128"/>
      <c r="AN40" s="127">
        <f>'print Basis'!P35</f>
        <v>0.19999999999999996</v>
      </c>
      <c r="AO40" s="128"/>
      <c r="AP40" s="622"/>
      <c r="AQ40" s="5"/>
      <c r="AR40" s="778"/>
      <c r="AS40" s="20"/>
      <c r="AT40" s="20"/>
      <c r="AU40" s="20"/>
      <c r="BYT40" s="299"/>
      <c r="BYU40" s="782"/>
      <c r="BYV40" s="782"/>
      <c r="BYW40" s="782"/>
      <c r="BYX40" s="782"/>
      <c r="BYY40" s="782"/>
      <c r="BYZ40" s="782"/>
      <c r="BZA40" s="782"/>
      <c r="BZB40" s="782"/>
      <c r="BZC40" s="782"/>
      <c r="BZD40" s="782"/>
      <c r="BZE40" s="782"/>
      <c r="BZF40" s="782"/>
      <c r="BZG40" s="782"/>
      <c r="BZH40" s="782"/>
      <c r="BZI40" s="782"/>
      <c r="BZJ40" s="782"/>
      <c r="BZK40" s="782"/>
      <c r="BZL40" s="782"/>
      <c r="BZM40" s="782"/>
      <c r="BZN40" s="782"/>
      <c r="BZO40" s="782"/>
      <c r="BZP40" s="782"/>
      <c r="BZQ40" s="782"/>
      <c r="BZR40" s="782"/>
      <c r="BZS40" s="782"/>
      <c r="BZT40" s="782"/>
      <c r="BZU40" s="782"/>
      <c r="BZV40" s="782"/>
      <c r="BZW40" s="782"/>
      <c r="BZX40" s="782"/>
      <c r="BZY40" s="782"/>
      <c r="BZZ40" s="784"/>
      <c r="CAA40" s="281"/>
      <c r="CAB40" s="281"/>
      <c r="CAC40" s="282"/>
    </row>
    <row r="41" spans="1:49 2022:2058" ht="21" customHeight="1" x14ac:dyDescent="0.4">
      <c r="A41" s="12"/>
      <c r="B41" s="15">
        <v>0.01</v>
      </c>
      <c r="C41" s="15">
        <v>0.05</v>
      </c>
      <c r="D41" s="15">
        <v>0.05</v>
      </c>
      <c r="E41" s="15">
        <v>0.05</v>
      </c>
      <c r="F41" s="15">
        <v>0.05</v>
      </c>
      <c r="G41" s="15">
        <v>0.05</v>
      </c>
      <c r="H41" s="15"/>
      <c r="I41" s="15"/>
      <c r="J41" s="15"/>
      <c r="K41" s="88">
        <v>8</v>
      </c>
      <c r="L41" s="46" t="s">
        <v>111</v>
      </c>
      <c r="M41" s="43"/>
      <c r="N41" s="244"/>
      <c r="O41" s="20"/>
      <c r="P41" s="20"/>
      <c r="Q41" s="20"/>
      <c r="R41" s="20"/>
      <c r="S41" s="20"/>
      <c r="T41" s="20"/>
      <c r="U41" s="20">
        <v>8</v>
      </c>
      <c r="V41" s="128"/>
      <c r="W41" s="7">
        <f t="shared" si="8"/>
        <v>0.1</v>
      </c>
      <c r="X41" s="22">
        <f>'info weging'!B26</f>
        <v>0.02</v>
      </c>
      <c r="Y41" s="22">
        <f>'info weging'!C26</f>
        <v>0.1</v>
      </c>
      <c r="Z41" s="22">
        <f>'info weging'!D26</f>
        <v>0.1</v>
      </c>
      <c r="AA41" s="22">
        <f>'info weging'!E26</f>
        <v>0.1</v>
      </c>
      <c r="AB41" s="22">
        <f>'info weging'!F26</f>
        <v>0.1</v>
      </c>
      <c r="AC41" s="23">
        <f>'info weging'!G26</f>
        <v>0.1</v>
      </c>
      <c r="AD41" s="23">
        <f>'info weging'!H26</f>
        <v>0.125</v>
      </c>
      <c r="AE41" s="78"/>
      <c r="AF41" s="64"/>
      <c r="AG41" s="64"/>
      <c r="AH41" s="64"/>
      <c r="AI41" s="64"/>
      <c r="AJ41" s="65"/>
      <c r="AK41" s="65"/>
      <c r="AL41" s="265"/>
      <c r="AM41" s="203"/>
      <c r="AN41" s="201">
        <f>'print Basis'!P36</f>
        <v>0.1</v>
      </c>
      <c r="AO41" s="128"/>
      <c r="AP41" s="621" t="e">
        <f>'print Basis'!Q36</f>
        <v>#VALUE!</v>
      </c>
      <c r="AQ41" s="5"/>
      <c r="AR41" s="779"/>
      <c r="AS41" s="20"/>
      <c r="AT41" s="20"/>
      <c r="AU41" s="20"/>
      <c r="BYT41" s="299"/>
      <c r="BYU41" s="782"/>
      <c r="BYV41" s="782"/>
      <c r="BYW41" s="782"/>
      <c r="BYX41" s="782"/>
      <c r="BYY41" s="791"/>
      <c r="BYZ41" s="791"/>
      <c r="BZA41" s="792"/>
      <c r="BZB41" s="792"/>
      <c r="BZC41" s="791"/>
      <c r="BZD41" s="791"/>
      <c r="BZE41" s="792"/>
      <c r="BZF41" s="791"/>
      <c r="BZG41" s="791"/>
      <c r="BZH41" s="791"/>
      <c r="BZI41" s="792"/>
      <c r="BZJ41" s="791"/>
      <c r="BZK41" s="791"/>
      <c r="BZL41" s="791"/>
      <c r="BZM41" s="792"/>
      <c r="BZN41" s="791"/>
      <c r="BZO41" s="791"/>
      <c r="BZP41" s="791"/>
      <c r="BZQ41" s="792"/>
      <c r="BZR41" s="782"/>
      <c r="BZS41" s="782"/>
      <c r="BZT41" s="782"/>
      <c r="BZU41" s="782"/>
      <c r="BZV41" s="782"/>
      <c r="BZW41" s="782"/>
      <c r="BZX41" s="782"/>
      <c r="BZY41" s="782"/>
      <c r="BZZ41" s="784"/>
      <c r="CAA41" s="281"/>
      <c r="CAB41" s="281"/>
      <c r="CAC41" s="282"/>
    </row>
    <row r="42" spans="1:49 2022:2058" ht="40.200000000000003" customHeight="1" x14ac:dyDescent="0.4">
      <c r="A42" s="12"/>
      <c r="B42" s="16">
        <v>1</v>
      </c>
      <c r="C42" s="16">
        <v>1</v>
      </c>
      <c r="D42" s="16">
        <v>1</v>
      </c>
      <c r="E42" s="16">
        <v>1</v>
      </c>
      <c r="F42" s="16">
        <v>1</v>
      </c>
      <c r="G42" s="16">
        <v>1</v>
      </c>
      <c r="H42" s="16"/>
      <c r="I42" s="16"/>
      <c r="J42" s="16"/>
      <c r="K42" s="452" t="s">
        <v>60</v>
      </c>
      <c r="L42" s="549" t="s">
        <v>305</v>
      </c>
      <c r="M42" s="551" t="str">
        <f>IF(N42="","         klik hier op linkermuisknop + selecteer via het pull down menu het gerealiseerd circulaire doel","")</f>
        <v xml:space="preserve">         klik hier op linkermuisknop + selecteer via het pull down menu het gerealiseerd circulaire doel</v>
      </c>
      <c r="N42" s="210"/>
      <c r="O42" s="20"/>
      <c r="P42" s="38"/>
      <c r="Q42" s="38"/>
      <c r="R42" s="38"/>
      <c r="S42" s="38"/>
      <c r="T42" s="38"/>
      <c r="U42" s="38"/>
      <c r="V42" s="204"/>
      <c r="W42" s="6">
        <f t="shared" si="8"/>
        <v>1</v>
      </c>
      <c r="X42" s="28">
        <f>'info weging'!B27</f>
        <v>1</v>
      </c>
      <c r="Y42" s="28">
        <f>'info weging'!C27</f>
        <v>1</v>
      </c>
      <c r="Z42" s="28">
        <f>'info weging'!D27</f>
        <v>1</v>
      </c>
      <c r="AA42" s="28">
        <f>'info weging'!E27</f>
        <v>1</v>
      </c>
      <c r="AB42" s="28">
        <f>'info weging'!F27</f>
        <v>1</v>
      </c>
      <c r="AC42" s="29">
        <f>'info weging'!G27</f>
        <v>1</v>
      </c>
      <c r="AD42" s="29">
        <f>'info weging'!H27</f>
        <v>1</v>
      </c>
      <c r="AE42" s="105" t="e">
        <f>VLOOKUP(N42,'info weging'!$A$36:$H$163,2,FALSE)</f>
        <v>#N/A</v>
      </c>
      <c r="AF42" s="10" t="e">
        <f>VLOOKUP(N42,'info weging'!$A$36:$H$163,3,FALSE)</f>
        <v>#N/A</v>
      </c>
      <c r="AG42" s="10" t="e">
        <f>VLOOKUP(N42,'info weging'!$A$36:$H$163,4,FALSE)</f>
        <v>#N/A</v>
      </c>
      <c r="AH42" s="10" t="e">
        <f>VLOOKUP(N42,'info weging'!$A$36:$H$163,5,FALSE)</f>
        <v>#N/A</v>
      </c>
      <c r="AI42" s="10" t="e">
        <f>VLOOKUP(N42,'info weging'!$A$36:$H$163,6,FALSE)</f>
        <v>#N/A</v>
      </c>
      <c r="AJ42" s="11" t="e">
        <f>VLOOKUP(N42,'info weging'!$A$36:$H$163,7,FALSE)</f>
        <v>#N/A</v>
      </c>
      <c r="AK42" s="11" t="e">
        <f>VLOOKUP(N42,'info weging'!$A$36:$H$163,8,FALSE)</f>
        <v>#N/A</v>
      </c>
      <c r="AL42" s="266" t="str">
        <f>IF(COUNTA(N42)=1,AE42*$AE$15+AF42*$AF$15+AG42*$AG$15+AH42*$AH$15+AI42*$AI$15+AJ42*$AJ$15+AK42*$AK$15,"----")</f>
        <v>----</v>
      </c>
      <c r="AM42" s="204"/>
      <c r="AN42" s="205">
        <f>'print Basis'!P37</f>
        <v>1</v>
      </c>
      <c r="AO42" s="204"/>
      <c r="AP42" s="623"/>
      <c r="AQ42" s="5"/>
      <c r="AR42" s="778"/>
      <c r="AS42" s="20"/>
      <c r="AT42" s="20"/>
      <c r="AU42" s="20"/>
      <c r="BYT42" s="299"/>
      <c r="BYU42" s="782"/>
      <c r="BYV42" s="782"/>
      <c r="BYW42" s="782"/>
      <c r="BYX42" s="782"/>
      <c r="BYY42" s="782"/>
      <c r="BYZ42" s="782"/>
      <c r="BZA42" s="782"/>
      <c r="BZB42" s="782"/>
      <c r="BZC42" s="782"/>
      <c r="BZD42" s="782"/>
      <c r="BZE42" s="782"/>
      <c r="BZF42" s="782"/>
      <c r="BZG42" s="782"/>
      <c r="BZH42" s="782"/>
      <c r="BZI42" s="782"/>
      <c r="BZJ42" s="782"/>
      <c r="BZK42" s="782"/>
      <c r="BZL42" s="782"/>
      <c r="BZM42" s="782"/>
      <c r="BZN42" s="782"/>
      <c r="BZO42" s="782"/>
      <c r="BZP42" s="782"/>
      <c r="BZQ42" s="782"/>
      <c r="BZR42" s="782"/>
      <c r="BZS42" s="782"/>
      <c r="BZT42" s="782"/>
      <c r="BZU42" s="782"/>
      <c r="BZV42" s="782"/>
      <c r="BZW42" s="782"/>
      <c r="BZX42" s="782"/>
      <c r="BZY42" s="782"/>
      <c r="BZZ42" s="784"/>
      <c r="CAA42" s="281"/>
      <c r="CAB42" s="281"/>
      <c r="CAC42" s="282"/>
    </row>
    <row r="43" spans="1:49 2022:2058" ht="11.4" customHeight="1" x14ac:dyDescent="0.65">
      <c r="L43" s="648"/>
      <c r="N43" s="712"/>
      <c r="O43" s="20"/>
      <c r="P43" s="712" t="e">
        <f t="shared" ref="P43:U43" si="14">BZL63</f>
        <v>#N/A</v>
      </c>
      <c r="Q43" s="712" t="e">
        <f t="shared" si="14"/>
        <v>#N/A</v>
      </c>
      <c r="R43" s="712" t="e">
        <f t="shared" si="14"/>
        <v>#N/A</v>
      </c>
      <c r="S43" s="712" t="e">
        <f t="shared" si="14"/>
        <v>#N/A</v>
      </c>
      <c r="T43" s="712" t="e">
        <f t="shared" si="14"/>
        <v>#N/A</v>
      </c>
      <c r="U43" s="712" t="e">
        <f t="shared" si="14"/>
        <v>#N/A</v>
      </c>
      <c r="V43" s="712">
        <f t="shared" ref="V43:AO43" si="15">J55</f>
        <v>0</v>
      </c>
      <c r="W43" s="712">
        <f t="shared" si="15"/>
        <v>3</v>
      </c>
      <c r="X43" s="712" t="e">
        <f t="shared" si="15"/>
        <v>#N/A</v>
      </c>
      <c r="Y43" s="712">
        <f t="shared" si="15"/>
        <v>0</v>
      </c>
      <c r="Z43" s="712" t="str">
        <f t="shared" si="15"/>
        <v>Duurzaam gebruik van bestaande objecten, materialen, grondstoffen en natuurlijke processen</v>
      </c>
      <c r="AA43" s="712">
        <f t="shared" si="15"/>
        <v>0</v>
      </c>
      <c r="AB43" s="712">
        <f t="shared" si="15"/>
        <v>0</v>
      </c>
      <c r="AC43" s="712">
        <f t="shared" si="15"/>
        <v>0</v>
      </c>
      <c r="AD43" s="712">
        <f t="shared" si="15"/>
        <v>0</v>
      </c>
      <c r="AE43" s="712">
        <f t="shared" si="15"/>
        <v>0</v>
      </c>
      <c r="AF43" s="712">
        <f t="shared" si="15"/>
        <v>0</v>
      </c>
      <c r="AG43" s="712">
        <f t="shared" si="15"/>
        <v>0</v>
      </c>
      <c r="AH43" s="712">
        <f t="shared" si="15"/>
        <v>0</v>
      </c>
      <c r="AI43" s="712">
        <f t="shared" si="15"/>
        <v>0</v>
      </c>
      <c r="AJ43" s="712">
        <f t="shared" si="15"/>
        <v>0</v>
      </c>
      <c r="AK43" s="712">
        <f t="shared" si="15"/>
        <v>0</v>
      </c>
      <c r="AL43" s="116"/>
      <c r="AM43" s="712">
        <f t="shared" si="15"/>
        <v>0</v>
      </c>
      <c r="AN43" s="712"/>
      <c r="AO43" s="712">
        <f t="shared" si="15"/>
        <v>0</v>
      </c>
      <c r="AP43" s="713"/>
      <c r="AR43" s="358"/>
      <c r="BYT43" s="299"/>
      <c r="BYU43" s="782"/>
      <c r="BYV43" s="782"/>
      <c r="BYW43" s="782"/>
      <c r="BYX43" s="782"/>
      <c r="BYY43" s="782"/>
      <c r="BYZ43" s="782"/>
      <c r="BZA43" s="782"/>
      <c r="BZB43" s="782"/>
      <c r="BZC43" s="782"/>
      <c r="BZD43" s="782"/>
      <c r="BZE43" s="782"/>
      <c r="BZF43" s="782"/>
      <c r="BZG43" s="782"/>
      <c r="BZH43" s="782"/>
      <c r="BZI43" s="782"/>
      <c r="BZJ43" s="782"/>
      <c r="BZK43" s="782"/>
      <c r="BZL43" s="782"/>
      <c r="BZM43" s="782"/>
      <c r="BZN43" s="782"/>
      <c r="BZO43" s="782"/>
      <c r="BZP43" s="782"/>
      <c r="BZQ43" s="782"/>
      <c r="BZR43" s="782"/>
      <c r="BZS43" s="782"/>
      <c r="BZT43" s="782"/>
      <c r="BZU43" s="782"/>
      <c r="BZV43" s="782"/>
      <c r="BZW43" s="782"/>
      <c r="BZX43" s="782"/>
      <c r="BZY43" s="782"/>
      <c r="BZZ43" s="784"/>
      <c r="CAA43" s="281"/>
      <c r="CAB43" s="281"/>
      <c r="CAC43" s="282"/>
    </row>
    <row r="44" spans="1:49 2022:2058" ht="21" x14ac:dyDescent="0.4">
      <c r="J44" s="112"/>
      <c r="K44" s="716" t="s">
        <v>384</v>
      </c>
      <c r="L44" s="717"/>
      <c r="M44" s="551" t="str">
        <f>IF(N44="","         optioneel: voor innovatieve additionele maatregelen max 10 punten. Vul hier aantal BONUS punten in (max 10).","")</f>
        <v xml:space="preserve">         optioneel: voor innovatieve additionele maatregelen max 10 punten. Vul hier aantal BONUS punten in (max 10).</v>
      </c>
      <c r="N44" s="776"/>
      <c r="O44" s="20"/>
      <c r="P44" s="472"/>
      <c r="Q44" s="472"/>
      <c r="R44" s="472"/>
      <c r="S44" s="472"/>
      <c r="T44" s="472"/>
      <c r="U44" s="472"/>
      <c r="V44" s="472"/>
      <c r="W44" s="472"/>
      <c r="X44" s="472"/>
      <c r="Y44" s="472"/>
      <c r="Z44" s="472"/>
      <c r="AA44" s="472"/>
      <c r="AB44" s="472"/>
      <c r="AC44" s="472"/>
      <c r="AD44" s="472"/>
      <c r="AE44" s="472"/>
      <c r="AF44" s="472"/>
      <c r="AG44" s="472"/>
      <c r="AH44" s="472"/>
      <c r="AI44" s="472"/>
      <c r="AJ44" s="472"/>
      <c r="AK44" s="472"/>
      <c r="AL44" s="734">
        <f>N44</f>
        <v>0</v>
      </c>
      <c r="AM44" s="203"/>
      <c r="AN44" s="201">
        <f>IF(AL44&lt;10.000001,100%,"max_10")</f>
        <v>1</v>
      </c>
      <c r="AO44" s="128"/>
      <c r="AP44" s="621">
        <f>IF(AL44&lt;10.0000001,AL44,10)</f>
        <v>0</v>
      </c>
      <c r="AQ44" s="715" t="str">
        <f>IF(AP44&gt;0,"             geef korte toelichting op waardering BONUS maatregel","")</f>
        <v/>
      </c>
      <c r="AR44" s="780"/>
      <c r="BYT44" s="299"/>
      <c r="BYU44" s="782"/>
      <c r="BYV44" s="782"/>
      <c r="BYW44" s="782"/>
      <c r="BYX44" s="782"/>
      <c r="BYY44" s="782"/>
      <c r="BYZ44" s="782"/>
      <c r="BZA44" s="782"/>
      <c r="BZB44" s="782"/>
      <c r="BZC44" s="791"/>
      <c r="BZD44" s="782"/>
      <c r="BZE44" s="782"/>
      <c r="BZF44" s="782"/>
      <c r="BZG44" s="782"/>
      <c r="BZH44" s="782"/>
      <c r="BZI44" s="782"/>
      <c r="BZJ44" s="782"/>
      <c r="BZK44" s="782"/>
      <c r="BZL44" s="782"/>
      <c r="BZM44" s="782"/>
      <c r="BZN44" s="782"/>
      <c r="BZO44" s="782"/>
      <c r="BZP44" s="782"/>
      <c r="BZQ44" s="782"/>
      <c r="BZR44" s="782"/>
      <c r="BZS44" s="782"/>
      <c r="BZT44" s="782"/>
      <c r="BZU44" s="782"/>
      <c r="BZV44" s="782"/>
      <c r="BZW44" s="782"/>
      <c r="BZX44" s="782"/>
      <c r="BZY44" s="782"/>
      <c r="BZZ44" s="784"/>
      <c r="CAA44" s="281"/>
      <c r="CAB44" s="281"/>
      <c r="CAC44" s="282"/>
    </row>
    <row r="45" spans="1:49 2022:2058" ht="8.4" customHeight="1" thickBot="1" x14ac:dyDescent="0.35">
      <c r="J45" s="113"/>
      <c r="K45" s="4"/>
      <c r="L45" s="4"/>
      <c r="M45" s="4"/>
      <c r="O45" s="20"/>
      <c r="X45" s="32" t="s">
        <v>30</v>
      </c>
      <c r="Y45" s="32" t="s">
        <v>31</v>
      </c>
      <c r="Z45" s="32" t="s">
        <v>32</v>
      </c>
      <c r="AA45" s="32" t="s">
        <v>33</v>
      </c>
      <c r="AB45" s="32" t="s">
        <v>34</v>
      </c>
      <c r="AC45" s="32" t="s">
        <v>35</v>
      </c>
      <c r="AE45" s="80" t="s">
        <v>30</v>
      </c>
      <c r="AF45" s="32" t="s">
        <v>31</v>
      </c>
      <c r="AG45" s="32" t="s">
        <v>32</v>
      </c>
      <c r="AH45" s="32" t="s">
        <v>33</v>
      </c>
      <c r="AI45" s="32" t="s">
        <v>34</v>
      </c>
      <c r="AJ45" s="32" t="s">
        <v>35</v>
      </c>
      <c r="AK45" s="32" t="s">
        <v>39</v>
      </c>
      <c r="AR45" s="37"/>
      <c r="BYT45" s="299"/>
      <c r="BYU45" s="782"/>
      <c r="BYV45" s="782"/>
      <c r="BYW45" s="782"/>
      <c r="BYX45" s="782"/>
      <c r="BYY45" s="782"/>
      <c r="BYZ45" s="782"/>
      <c r="BZA45" s="782"/>
      <c r="BZB45" s="782"/>
      <c r="BZC45" s="782"/>
      <c r="BZD45" s="782"/>
      <c r="BZE45" s="782"/>
      <c r="BZF45" s="782"/>
      <c r="BZG45" s="782"/>
      <c r="BZH45" s="782"/>
      <c r="BZI45" s="782"/>
      <c r="BZJ45" s="782"/>
      <c r="BZK45" s="782"/>
      <c r="BZL45" s="782"/>
      <c r="BZM45" s="782"/>
      <c r="BZN45" s="782"/>
      <c r="BZO45" s="782"/>
      <c r="BZP45" s="782"/>
      <c r="BZQ45" s="782"/>
      <c r="BZR45" s="782"/>
      <c r="BZS45" s="782"/>
      <c r="BZT45" s="782"/>
      <c r="BZU45" s="782"/>
      <c r="BZV45" s="782"/>
      <c r="BZW45" s="782"/>
      <c r="BZX45" s="782"/>
      <c r="BZY45" s="782"/>
      <c r="BZZ45" s="793"/>
      <c r="CAA45" s="286"/>
      <c r="CAB45" s="286"/>
      <c r="CAC45" s="287"/>
    </row>
    <row r="46" spans="1:49 2022:2058" ht="18" hidden="1" x14ac:dyDescent="0.35">
      <c r="J46" s="114"/>
      <c r="L46" s="47"/>
      <c r="O46" s="20"/>
      <c r="AR46" s="37"/>
      <c r="BYT46" s="299"/>
      <c r="BYU46" s="782"/>
      <c r="BYV46" s="782"/>
      <c r="BYW46" s="782"/>
      <c r="BYX46" s="782"/>
      <c r="BYY46" s="782"/>
      <c r="BYZ46" s="782"/>
      <c r="BZA46" s="782"/>
      <c r="BZB46" s="782"/>
      <c r="BZC46" s="782"/>
      <c r="BZD46" s="782"/>
      <c r="BZE46" s="782"/>
      <c r="BZF46" s="782"/>
      <c r="BZG46" s="782"/>
      <c r="BZH46" s="782"/>
      <c r="BZI46" s="782"/>
      <c r="BZJ46" s="782"/>
      <c r="BZK46" s="782"/>
      <c r="BZL46" s="782"/>
      <c r="BZM46" s="782"/>
      <c r="BZN46" s="782"/>
      <c r="BZO46" s="782"/>
      <c r="BZP46" s="782"/>
      <c r="BZQ46" s="782"/>
      <c r="BZR46" s="782"/>
      <c r="BZS46" s="782"/>
      <c r="BZT46" s="782"/>
      <c r="BZU46" s="782"/>
      <c r="BZV46" s="782"/>
      <c r="BZW46" s="782"/>
      <c r="BZX46" s="782"/>
      <c r="BZY46" s="782"/>
    </row>
    <row r="47" spans="1:49 2022:2058" ht="18" hidden="1" x14ac:dyDescent="0.35">
      <c r="J47" s="114"/>
      <c r="K47" s="180">
        <f>'print Basis'!G11</f>
        <v>2</v>
      </c>
      <c r="L47" s="206" t="str">
        <f>"Samenvatting resultaten Procesmonitor Circulaire Peiler van de"&amp;" "&amp;N8</f>
        <v>Samenvatting resultaten Procesmonitor Circulaire Peiler van de verkenningsfase</v>
      </c>
      <c r="M47" s="179"/>
      <c r="N47" s="206"/>
      <c r="O47" s="20"/>
      <c r="P47" s="179"/>
      <c r="Q47" s="179"/>
      <c r="R47" s="179"/>
      <c r="S47" s="179"/>
      <c r="T47" s="179"/>
      <c r="U47" s="179"/>
      <c r="V47" s="179"/>
      <c r="W47" s="179"/>
      <c r="X47" s="179"/>
      <c r="Y47" s="179"/>
      <c r="Z47" s="179"/>
      <c r="AA47" s="179"/>
      <c r="AB47" s="179"/>
      <c r="AC47" s="179"/>
      <c r="AD47" s="179"/>
      <c r="AE47" s="179"/>
      <c r="AF47" s="179"/>
      <c r="AG47" s="179"/>
      <c r="AH47" s="179"/>
      <c r="AI47" s="179"/>
      <c r="AJ47" s="179"/>
      <c r="AK47" s="179"/>
      <c r="AL47" s="179"/>
      <c r="AM47" s="179"/>
      <c r="AN47" s="182"/>
      <c r="AO47" s="179"/>
      <c r="AP47" s="625"/>
      <c r="AR47" s="358"/>
      <c r="BYT47" s="299"/>
      <c r="BYU47" s="782"/>
      <c r="BYV47" s="782"/>
      <c r="BYW47" s="782"/>
      <c r="BYX47" s="782"/>
      <c r="BYY47" s="782"/>
      <c r="BYZ47" s="782"/>
      <c r="BZA47" s="782"/>
      <c r="BZB47" s="782"/>
      <c r="BZC47" s="782"/>
      <c r="BZD47" s="782"/>
      <c r="BZE47" s="782"/>
      <c r="BZF47" s="782"/>
      <c r="BZG47" s="782"/>
      <c r="BZH47" s="782"/>
      <c r="BZI47" s="782"/>
      <c r="BZJ47" s="782"/>
      <c r="BZK47" s="782"/>
      <c r="BZL47" s="782"/>
      <c r="BZM47" s="782"/>
      <c r="BZN47" s="782"/>
      <c r="BZO47" s="782"/>
      <c r="BZP47" s="782"/>
      <c r="BZQ47" s="782"/>
      <c r="BZR47" s="782"/>
      <c r="BZS47" s="782"/>
      <c r="BZT47" s="782"/>
      <c r="BZU47" s="782"/>
      <c r="BZV47" s="782"/>
      <c r="BZW47" s="782"/>
      <c r="BZX47" s="782"/>
      <c r="BZY47" s="782"/>
    </row>
    <row r="48" spans="1:49 2022:2058" ht="18" hidden="1" x14ac:dyDescent="0.35">
      <c r="J48" s="114"/>
      <c r="K48" s="119"/>
      <c r="L48" s="233" t="str">
        <f>'print Basis'!G8</f>
        <v>Projectnaam</v>
      </c>
      <c r="M48" s="81"/>
      <c r="N48" s="234" t="str">
        <f>'print Basis'!G10</f>
        <v>invoer Basis</v>
      </c>
      <c r="O48" s="20"/>
      <c r="P48" s="81"/>
      <c r="Q48" s="81"/>
      <c r="R48" s="81"/>
      <c r="S48" s="81"/>
      <c r="T48" s="81"/>
      <c r="U48" s="81"/>
      <c r="V48" s="81"/>
      <c r="W48" s="81"/>
      <c r="X48" s="81"/>
      <c r="Y48" s="81"/>
      <c r="Z48" s="81"/>
      <c r="AA48" s="81"/>
      <c r="AB48" s="81"/>
      <c r="AC48" s="81"/>
      <c r="AD48" s="81"/>
      <c r="AE48" s="81"/>
      <c r="AF48" s="81"/>
      <c r="AG48" s="81"/>
      <c r="AH48" s="81"/>
      <c r="AI48" s="81"/>
      <c r="AJ48" s="81"/>
      <c r="AK48" s="81"/>
      <c r="AL48" s="81"/>
      <c r="AM48" s="81"/>
      <c r="AN48" s="165"/>
      <c r="AO48" s="81"/>
      <c r="AP48" s="626"/>
      <c r="AR48" s="358"/>
      <c r="BYT48" s="299"/>
      <c r="BYU48" s="782"/>
      <c r="BYV48" s="782"/>
      <c r="BYW48" s="782"/>
      <c r="BYX48" s="782"/>
      <c r="BYY48" s="782"/>
      <c r="BYZ48" s="782"/>
      <c r="BZA48" s="782"/>
      <c r="BZB48" s="782"/>
      <c r="BZC48" s="782"/>
      <c r="BZD48" s="782"/>
      <c r="BZE48" s="782"/>
      <c r="BZF48" s="782"/>
      <c r="BZG48" s="782"/>
      <c r="BZH48" s="782"/>
      <c r="BZI48" s="782"/>
      <c r="BZJ48" s="782"/>
      <c r="BZK48" s="782"/>
      <c r="BZL48" s="782"/>
      <c r="BZM48" s="782"/>
      <c r="BZN48" s="782"/>
      <c r="BZO48" s="782"/>
      <c r="BZP48" s="782"/>
      <c r="BZQ48" s="782"/>
      <c r="BZR48" s="782"/>
      <c r="BZS48" s="782"/>
      <c r="BZT48" s="782"/>
      <c r="BZU48" s="782"/>
      <c r="BZV48" s="782"/>
      <c r="BZW48" s="782"/>
      <c r="BZX48" s="782"/>
      <c r="BZY48" s="782"/>
    </row>
    <row r="49" spans="10:44 2022:2053" ht="18" hidden="1" x14ac:dyDescent="0.35">
      <c r="J49" s="114"/>
      <c r="K49" s="30"/>
      <c r="L49" s="47" t="s">
        <v>114</v>
      </c>
      <c r="M49" s="20"/>
      <c r="N49" s="181" t="e">
        <f>ROUND('invoer Basis'!L61,0)</f>
        <v>#N/A</v>
      </c>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183"/>
      <c r="AO49" s="20"/>
      <c r="AP49" s="627"/>
      <c r="AR49" s="358"/>
      <c r="BYT49" s="299"/>
      <c r="BYU49" s="782"/>
      <c r="BYV49" s="782"/>
      <c r="BYW49" s="782"/>
      <c r="BYX49" s="782"/>
      <c r="BYY49" s="782"/>
      <c r="BYZ49" s="782"/>
      <c r="BZA49" s="782"/>
      <c r="BZB49" s="782"/>
      <c r="BZC49" s="782"/>
      <c r="BZD49" s="782"/>
      <c r="BZE49" s="782"/>
      <c r="BZF49" s="782"/>
      <c r="BZG49" s="782"/>
      <c r="BZH49" s="782"/>
      <c r="BZI49" s="782"/>
      <c r="BZJ49" s="782"/>
      <c r="BZK49" s="782"/>
      <c r="BZL49" s="782"/>
      <c r="BZM49" s="782"/>
      <c r="BZN49" s="782"/>
      <c r="BZO49" s="782"/>
      <c r="BZP49" s="782"/>
      <c r="BZQ49" s="782"/>
      <c r="BZR49" s="782"/>
      <c r="BZS49" s="782"/>
      <c r="BZT49" s="782"/>
      <c r="BZU49" s="782"/>
      <c r="BZV49" s="782"/>
      <c r="BZW49" s="782"/>
      <c r="BZX49" s="782"/>
      <c r="BZY49" s="782"/>
    </row>
    <row r="50" spans="10:44 2022:2053" hidden="1" x14ac:dyDescent="0.3">
      <c r="J50" s="114"/>
      <c r="K50" s="3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183"/>
      <c r="AO50" s="20"/>
      <c r="AP50" s="627"/>
      <c r="AR50" s="358"/>
      <c r="BYT50" s="299"/>
      <c r="BYU50" s="782"/>
      <c r="BYV50" s="782"/>
      <c r="BYW50" s="782"/>
      <c r="BYX50" s="782"/>
      <c r="BYY50" s="782"/>
      <c r="BYZ50" s="782"/>
      <c r="BZA50" s="782"/>
      <c r="BZB50" s="782"/>
      <c r="BZC50" s="782"/>
      <c r="BZD50" s="782"/>
      <c r="BZE50" s="782"/>
      <c r="BZF50" s="782"/>
      <c r="BZG50" s="782"/>
      <c r="BZH50" s="782"/>
      <c r="BZI50" s="782"/>
      <c r="BZJ50" s="782"/>
      <c r="BZK50" s="782"/>
      <c r="BZL50" s="782"/>
      <c r="BZM50" s="782"/>
      <c r="BZN50" s="782"/>
      <c r="BZO50" s="782"/>
      <c r="BZP50" s="782"/>
      <c r="BZQ50" s="782"/>
      <c r="BZR50" s="782"/>
      <c r="BZS50" s="782"/>
      <c r="BZT50" s="782"/>
      <c r="BZU50" s="782"/>
      <c r="BZV50" s="782"/>
      <c r="BZW50" s="782"/>
      <c r="BZX50" s="782"/>
      <c r="BZY50" s="782"/>
    </row>
    <row r="51" spans="10:44 2022:2053" ht="13.95" hidden="1" customHeight="1" x14ac:dyDescent="0.3">
      <c r="J51" s="114"/>
      <c r="K51" s="31"/>
      <c r="L51" s="38"/>
      <c r="M51" s="38"/>
      <c r="N51" s="38"/>
      <c r="O51" s="20"/>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184"/>
      <c r="AO51" s="38"/>
      <c r="AP51" s="628"/>
      <c r="AR51" s="358"/>
      <c r="BYT51" s="299"/>
      <c r="BYU51" s="782"/>
      <c r="BYV51" s="782"/>
      <c r="BYW51" s="782"/>
      <c r="BYX51" s="782"/>
      <c r="BYY51" s="782"/>
      <c r="BYZ51" s="782"/>
      <c r="BZA51" s="782"/>
      <c r="BZB51" s="782"/>
      <c r="BZC51" s="782"/>
      <c r="BZD51" s="782"/>
      <c r="BZE51" s="782"/>
      <c r="BZF51" s="782"/>
      <c r="BZG51" s="782"/>
      <c r="BZH51" s="782"/>
      <c r="BZI51" s="782"/>
      <c r="BZJ51" s="782"/>
      <c r="BZK51" s="782"/>
      <c r="BZL51" s="782"/>
      <c r="BZM51" s="782"/>
      <c r="BZN51" s="782"/>
      <c r="BZO51" s="782"/>
      <c r="BZP51" s="782"/>
      <c r="BZQ51" s="782"/>
      <c r="BZR51" s="782"/>
      <c r="BZS51" s="782"/>
      <c r="BZT51" s="782"/>
      <c r="BZU51" s="782"/>
      <c r="BZV51" s="782"/>
      <c r="BZW51" s="782"/>
      <c r="BZX51" s="782"/>
      <c r="BZY51" s="782"/>
    </row>
    <row r="52" spans="10:44 2022:2053" ht="18" hidden="1" x14ac:dyDescent="0.35">
      <c r="J52" s="114"/>
      <c r="K52" s="185"/>
      <c r="L52" s="473" t="s">
        <v>115</v>
      </c>
      <c r="M52" s="186"/>
      <c r="N52" s="187" t="s">
        <v>116</v>
      </c>
      <c r="O52" s="20"/>
      <c r="P52" s="81"/>
      <c r="Q52" s="81"/>
      <c r="R52" s="81"/>
      <c r="S52" s="81"/>
      <c r="T52" s="81"/>
      <c r="U52" s="81"/>
      <c r="V52" s="81"/>
      <c r="W52" s="81"/>
      <c r="X52" s="81"/>
      <c r="Y52" s="81"/>
      <c r="Z52" s="81"/>
      <c r="AA52" s="81"/>
      <c r="AB52" s="81"/>
      <c r="AC52" s="81"/>
      <c r="AD52" s="81"/>
      <c r="AE52" s="81"/>
      <c r="AF52" s="81"/>
      <c r="AG52" s="81"/>
      <c r="AH52" s="81"/>
      <c r="AI52" s="81"/>
      <c r="AJ52" s="81"/>
      <c r="AK52" s="81"/>
      <c r="AL52" s="81"/>
      <c r="AM52" s="81"/>
      <c r="AN52" s="165"/>
      <c r="AO52" s="81"/>
      <c r="AP52" s="629" t="str">
        <f>"Circulaire Peiler "&amp;'print Basis'!O5 &amp;"   "&amp; 'print Basis'!P5</f>
        <v>Circulaire Peiler ?   ?</v>
      </c>
      <c r="AR52" s="358"/>
      <c r="BYT52" s="299"/>
      <c r="BYU52" s="782"/>
      <c r="BYV52" s="782"/>
      <c r="BYW52" s="782"/>
      <c r="BYX52" s="782"/>
      <c r="BYY52" s="782"/>
      <c r="BYZ52" s="782"/>
      <c r="BZA52" s="782"/>
      <c r="BZB52" s="782"/>
      <c r="BZC52" s="782"/>
      <c r="BZD52" s="782"/>
      <c r="BZE52" s="782"/>
      <c r="BZF52" s="782"/>
      <c r="BZG52" s="782"/>
      <c r="BZH52" s="782"/>
      <c r="BZI52" s="795" t="s">
        <v>117</v>
      </c>
      <c r="BZJ52" s="795"/>
      <c r="BZK52" s="795">
        <v>1</v>
      </c>
      <c r="BZL52" s="795">
        <v>2</v>
      </c>
      <c r="BZM52" s="795">
        <v>3</v>
      </c>
      <c r="BZN52" s="795">
        <v>4</v>
      </c>
      <c r="BZO52" s="795">
        <v>5</v>
      </c>
      <c r="BZP52" s="795">
        <v>6</v>
      </c>
      <c r="BZQ52" s="795">
        <v>7</v>
      </c>
      <c r="BZR52" s="782"/>
      <c r="BZS52" s="782"/>
      <c r="BZT52" s="782"/>
      <c r="BZU52" s="782"/>
      <c r="BZV52" s="782"/>
      <c r="BZW52" s="782"/>
      <c r="BZX52" s="782"/>
      <c r="BZY52" s="782"/>
    </row>
    <row r="53" spans="10:44 2022:2053" ht="18" hidden="1" customHeight="1" x14ac:dyDescent="0.35">
      <c r="J53" s="114"/>
      <c r="K53" s="563">
        <v>1</v>
      </c>
      <c r="L53" s="82" t="e">
        <f t="shared" ref="L53:L60" si="16">BZJ54</f>
        <v>#N/A</v>
      </c>
      <c r="M53" s="48"/>
      <c r="N53" s="47" t="str">
        <f t="shared" ref="N53:N60" si="17">BZI54</f>
        <v>Voorkómen: niet doen wat echt niet hoeft</v>
      </c>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183"/>
      <c r="AO53" s="20"/>
      <c r="AP53" s="627"/>
      <c r="AR53" s="37"/>
      <c r="BYT53" s="299"/>
      <c r="BYU53" s="782"/>
      <c r="BYV53" s="782"/>
      <c r="BYW53" s="782"/>
      <c r="BYX53" s="782"/>
      <c r="BYY53" s="782"/>
      <c r="BYZ53" s="782"/>
      <c r="BZA53" s="782"/>
      <c r="BZB53" s="782"/>
      <c r="BZC53" s="782"/>
      <c r="BZD53" s="782"/>
      <c r="BZE53" s="782"/>
      <c r="BZF53" s="782"/>
      <c r="BZG53" s="782"/>
      <c r="BZH53" s="782"/>
      <c r="BZI53" s="782"/>
      <c r="BZJ53" s="796" t="e">
        <f>""&amp;N47&amp;" CPI="&amp;BZJ63&amp;" (CPI2030=100)"</f>
        <v>#N/A</v>
      </c>
      <c r="BZK53" s="796" t="e">
        <f>"circulair peil verkenningsfase CP="&amp;BZJ63&amp;" (CP2030=100); indic. KRW-oost"</f>
        <v>#N/A</v>
      </c>
      <c r="BZL53" s="796" t="e">
        <f>"verkenningsfase scoort: "&amp;BZL63&amp;"% van de circulaire doelstelling 2030"</f>
        <v>#N/A</v>
      </c>
      <c r="BZM53" s="796" t="e">
        <f>"planuitwerkingsfase scoort: "&amp;BZM63&amp;"% van de circulaire doelstelling 2030"</f>
        <v>#N/A</v>
      </c>
      <c r="BZN53" s="796" t="e">
        <f>"contractvormingsfase scoort: "&amp;BZN63&amp;"% van de circadlaire doelstelling 2030"</f>
        <v>#N/A</v>
      </c>
      <c r="BZO53" s="796" t="e">
        <f>"realisatiefase scoort: "&amp;BZO63&amp;"% ahan de circulaire doelstelling 2030"</f>
        <v>#N/A</v>
      </c>
      <c r="BZP53" s="796" t="e">
        <f>"beheer/onderhoudsfase scoort: "&amp;BZP63&amp;"% van de circulaire doelstelling 2030"</f>
        <v>#N/A</v>
      </c>
      <c r="BZQ53" s="796" t="s">
        <v>118</v>
      </c>
      <c r="BZR53" s="782"/>
      <c r="BZS53" s="782"/>
      <c r="BZT53" s="782"/>
      <c r="BZU53" s="782"/>
      <c r="BZV53" s="782"/>
      <c r="BZW53" s="782"/>
      <c r="BZX53" s="782"/>
      <c r="BZY53" s="782"/>
    </row>
    <row r="54" spans="10:44 2022:2053" ht="18" hidden="1" x14ac:dyDescent="0.35">
      <c r="J54" s="114"/>
      <c r="K54" s="270">
        <v>2</v>
      </c>
      <c r="L54" s="82" t="e">
        <f t="shared" si="16"/>
        <v>#N/A</v>
      </c>
      <c r="M54" s="48"/>
      <c r="N54" s="47" t="str">
        <f t="shared" si="17"/>
        <v>Verleng de levensduur van bestaande objecten of componenten</v>
      </c>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183"/>
      <c r="AO54" s="20"/>
      <c r="AP54" s="627"/>
      <c r="AR54" s="37"/>
      <c r="BYT54" s="299"/>
      <c r="BYU54" s="782"/>
      <c r="BYV54" s="782"/>
      <c r="BYW54" s="782"/>
      <c r="BYX54" s="782"/>
      <c r="BYY54" s="782"/>
      <c r="BYZ54" s="782"/>
      <c r="BZA54" s="782"/>
      <c r="BZB54" s="782"/>
      <c r="BZC54" s="782"/>
      <c r="BZD54" s="782"/>
      <c r="BZE54" s="782"/>
      <c r="BZF54" s="782"/>
      <c r="BZG54" s="782"/>
      <c r="BZH54" s="782"/>
      <c r="BZI54" s="797" t="str">
        <f>L23</f>
        <v>Voorkómen: niet doen wat echt niet hoeft</v>
      </c>
      <c r="BZJ54" s="798" t="e">
        <f t="shared" ref="BZJ54:BZJ62" si="18">BZK54*$BZK$64+BZL54*$BZL$64+BZM54*$BZM$64+BZN54*$BZN$64+BZO54*$BZO$64+BZP54*$BZP$64+$BZQ$64*BZQ54</f>
        <v>#N/A</v>
      </c>
      <c r="BZK54" s="798" t="e">
        <f>BYY24</f>
        <v>#N/A</v>
      </c>
      <c r="BZL54" s="798" t="e">
        <f>BZC24</f>
        <v>#N/A</v>
      </c>
      <c r="BZM54" s="798" t="e">
        <f>BZG24</f>
        <v>#N/A</v>
      </c>
      <c r="BZN54" s="798" t="e">
        <f>BZK24</f>
        <v>#N/A</v>
      </c>
      <c r="BZO54" s="798" t="e">
        <f>BZO24</f>
        <v>#N/A</v>
      </c>
      <c r="BZP54" s="798" t="e">
        <f>BZS24</f>
        <v>#N/A</v>
      </c>
      <c r="BZQ54" s="798" t="e">
        <f>BZW24</f>
        <v>#N/A</v>
      </c>
      <c r="BZR54" s="782"/>
      <c r="BZS54" s="782"/>
      <c r="BZT54" s="782"/>
      <c r="BZU54" s="782"/>
      <c r="BZV54" s="782"/>
      <c r="BZW54" s="782"/>
      <c r="BZX54" s="782"/>
      <c r="BZY54" s="782"/>
    </row>
    <row r="55" spans="10:44 2022:2053" ht="18" hidden="1" x14ac:dyDescent="0.35">
      <c r="J55" s="115"/>
      <c r="K55" s="171">
        <v>3</v>
      </c>
      <c r="L55" s="82" t="e">
        <f t="shared" si="16"/>
        <v>#N/A</v>
      </c>
      <c r="M55" s="48"/>
      <c r="N55" s="47" t="str">
        <f t="shared" si="17"/>
        <v>Duurzaam gebruik van bestaande objecten, materialen, grondstoffen en natuurlijke processen</v>
      </c>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183"/>
      <c r="AO55" s="20"/>
      <c r="AP55" s="627"/>
      <c r="AR55" s="37"/>
      <c r="BYT55" s="299"/>
      <c r="BYU55" s="782"/>
      <c r="BYV55" s="782"/>
      <c r="BYW55" s="782"/>
      <c r="BYX55" s="782"/>
      <c r="BYY55" s="782"/>
      <c r="BYZ55" s="782"/>
      <c r="BZA55" s="782"/>
      <c r="BZB55" s="782"/>
      <c r="BZC55" s="782"/>
      <c r="BZD55" s="782"/>
      <c r="BZE55" s="782"/>
      <c r="BZF55" s="782"/>
      <c r="BZG55" s="782"/>
      <c r="BZH55" s="782"/>
      <c r="BZI55" s="797" t="str">
        <f>L25</f>
        <v>Verleng de levensduur van bestaande objecten of componenten</v>
      </c>
      <c r="BZJ55" s="798" t="e">
        <f t="shared" si="18"/>
        <v>#N/A</v>
      </c>
      <c r="BZK55" s="798" t="e">
        <f>BYY25</f>
        <v>#N/A</v>
      </c>
      <c r="BZL55" s="798" t="e">
        <f>BZC25</f>
        <v>#N/A</v>
      </c>
      <c r="BZM55" s="798" t="e">
        <f>BZG25</f>
        <v>#N/A</v>
      </c>
      <c r="BZN55" s="798" t="e">
        <f>BZK25</f>
        <v>#N/A</v>
      </c>
      <c r="BZO55" s="798" t="e">
        <f>BZO25</f>
        <v>#N/A</v>
      </c>
      <c r="BZP55" s="798" t="e">
        <f>BZS25</f>
        <v>#N/A</v>
      </c>
      <c r="BZQ55" s="798" t="e">
        <f>BZW25</f>
        <v>#N/A</v>
      </c>
      <c r="BZR55" s="782"/>
      <c r="BZS55" s="782"/>
      <c r="BZT55" s="782"/>
      <c r="BZU55" s="782"/>
      <c r="BZV55" s="782"/>
      <c r="BZW55" s="782"/>
      <c r="BZX55" s="782"/>
      <c r="BZY55" s="782"/>
    </row>
    <row r="56" spans="10:44 2022:2053" ht="18" hidden="1" x14ac:dyDescent="0.35">
      <c r="J56" s="12"/>
      <c r="K56" s="172">
        <v>4</v>
      </c>
      <c r="L56" s="82" t="e">
        <f t="shared" si="16"/>
        <v>#N/A</v>
      </c>
      <c r="M56" s="48"/>
      <c r="N56" s="47" t="str">
        <f t="shared" si="17"/>
        <v>Ontwerp voor meerdere levenscycli</v>
      </c>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183"/>
      <c r="AO56" s="20"/>
      <c r="AP56" s="627"/>
      <c r="AR56" s="37"/>
      <c r="BYT56" s="299"/>
      <c r="BYU56" s="782"/>
      <c r="BYV56" s="782"/>
      <c r="BYW56" s="782"/>
      <c r="BYX56" s="782"/>
      <c r="BYY56" s="782"/>
      <c r="BYZ56" s="782"/>
      <c r="BZA56" s="782"/>
      <c r="BZB56" s="782"/>
      <c r="BZC56" s="782"/>
      <c r="BZD56" s="782"/>
      <c r="BZE56" s="782"/>
      <c r="BZF56" s="782"/>
      <c r="BZG56" s="782"/>
      <c r="BZH56" s="782"/>
      <c r="BZI56" s="797" t="str">
        <f>L27</f>
        <v>Duurzaam gebruik van bestaande objecten, materialen, grondstoffen en natuurlijke processen</v>
      </c>
      <c r="BZJ56" s="798" t="e">
        <f t="shared" si="18"/>
        <v>#N/A</v>
      </c>
      <c r="BZK56" s="798" t="e">
        <f>SUM(BYY26:BYY28)</f>
        <v>#N/A</v>
      </c>
      <c r="BZL56" s="798" t="e">
        <f>SUM(BZC26:BZC28)</f>
        <v>#N/A</v>
      </c>
      <c r="BZM56" s="798" t="e">
        <f>SUM(BZG26:BZG28)</f>
        <v>#N/A</v>
      </c>
      <c r="BZN56" s="798" t="e">
        <f>SUM(BZK26:BZK28)</f>
        <v>#N/A</v>
      </c>
      <c r="BZO56" s="798" t="e">
        <f>SUM(BZO26:BZO28)</f>
        <v>#N/A</v>
      </c>
      <c r="BZP56" s="798" t="e">
        <f>SUM(BZS26:BZS28)</f>
        <v>#N/A</v>
      </c>
      <c r="BZQ56" s="798" t="e">
        <f>SUM(BZW26:BZW28)</f>
        <v>#N/A</v>
      </c>
      <c r="BZR56" s="782"/>
      <c r="BZS56" s="782"/>
      <c r="BZT56" s="782"/>
      <c r="BZU56" s="782"/>
      <c r="BZV56" s="782"/>
      <c r="BZW56" s="782"/>
      <c r="BZX56" s="782"/>
      <c r="BZY56" s="782"/>
    </row>
    <row r="57" spans="10:44 2022:2053" ht="18" hidden="1" x14ac:dyDescent="0.35">
      <c r="K57" s="269">
        <v>5</v>
      </c>
      <c r="L57" s="82" t="e">
        <f t="shared" si="16"/>
        <v>#N/A</v>
      </c>
      <c r="M57" s="48"/>
      <c r="N57" s="47" t="str">
        <f t="shared" si="17"/>
        <v>Ontwerp toekomstbestendig</v>
      </c>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183"/>
      <c r="AO57" s="20"/>
      <c r="AP57" s="627"/>
      <c r="AR57" s="37"/>
      <c r="BYT57" s="299"/>
      <c r="BYU57" s="782"/>
      <c r="BYV57" s="782"/>
      <c r="BYW57" s="782"/>
      <c r="BYX57" s="782"/>
      <c r="BYY57" s="782"/>
      <c r="BYZ57" s="782"/>
      <c r="BZA57" s="782"/>
      <c r="BZB57" s="782"/>
      <c r="BZC57" s="782"/>
      <c r="BZD57" s="782"/>
      <c r="BZE57" s="782"/>
      <c r="BZF57" s="782"/>
      <c r="BZG57" s="782"/>
      <c r="BZH57" s="782"/>
      <c r="BZI57" s="797" t="str">
        <f>L31</f>
        <v>Ontwerp voor meerdere levenscycli</v>
      </c>
      <c r="BZJ57" s="798" t="e">
        <f t="shared" si="18"/>
        <v>#N/A</v>
      </c>
      <c r="BZK57" s="798" t="e">
        <f>BYY29+BYY30</f>
        <v>#N/A</v>
      </c>
      <c r="BZL57" s="798" t="e">
        <f>BZC29+BZC30</f>
        <v>#N/A</v>
      </c>
      <c r="BZM57" s="798" t="e">
        <f>BZG29+BZG30</f>
        <v>#N/A</v>
      </c>
      <c r="BZN57" s="798" t="e">
        <f>BZK29+BZK30</f>
        <v>#N/A</v>
      </c>
      <c r="BZO57" s="798" t="e">
        <f>BZO29+BZO30</f>
        <v>#N/A</v>
      </c>
      <c r="BZP57" s="798" t="e">
        <f>BZS29+BZS30</f>
        <v>#N/A</v>
      </c>
      <c r="BZQ57" s="798" t="e">
        <f>BZW29+BZW30</f>
        <v>#N/A</v>
      </c>
      <c r="BZR57" s="782"/>
      <c r="BZS57" s="782"/>
      <c r="BZT57" s="782"/>
      <c r="BZU57" s="782"/>
      <c r="BZV57" s="782"/>
      <c r="BZW57" s="782"/>
      <c r="BZX57" s="782"/>
      <c r="BZY57" s="782"/>
    </row>
    <row r="58" spans="10:44 2022:2053" ht="18" hidden="1" x14ac:dyDescent="0.35">
      <c r="K58" s="173">
        <v>6</v>
      </c>
      <c r="L58" s="82" t="e">
        <f t="shared" si="16"/>
        <v>#N/A</v>
      </c>
      <c r="M58" s="48"/>
      <c r="N58" s="47" t="str">
        <f t="shared" si="17"/>
        <v xml:space="preserve">Ontwerp voor optimaal beheer en onderhoud </v>
      </c>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183"/>
      <c r="AO58" s="20"/>
      <c r="AP58" s="627"/>
      <c r="AR58" s="37"/>
      <c r="BYT58" s="299"/>
      <c r="BYU58" s="782"/>
      <c r="BYV58" s="782"/>
      <c r="BYW58" s="782"/>
      <c r="BYX58" s="782"/>
      <c r="BYY58" s="782"/>
      <c r="BYZ58" s="782"/>
      <c r="BZA58" s="782"/>
      <c r="BZB58" s="782"/>
      <c r="BZC58" s="782"/>
      <c r="BZD58" s="782"/>
      <c r="BZE58" s="782"/>
      <c r="BZF58" s="782"/>
      <c r="BZG58" s="782"/>
      <c r="BZH58" s="782"/>
      <c r="BZI58" s="797" t="str">
        <f>L34</f>
        <v>Ontwerp toekomstbestendig</v>
      </c>
      <c r="BZJ58" s="798" t="e">
        <f t="shared" si="18"/>
        <v>#N/A</v>
      </c>
      <c r="BZK58" s="798" t="e">
        <f>BYY31</f>
        <v>#N/A</v>
      </c>
      <c r="BZL58" s="798" t="e">
        <f>BZC31</f>
        <v>#N/A</v>
      </c>
      <c r="BZM58" s="798" t="e">
        <f>BZG31</f>
        <v>#N/A</v>
      </c>
      <c r="BZN58" s="798" t="e">
        <f>BZK31</f>
        <v>#N/A</v>
      </c>
      <c r="BZO58" s="798" t="e">
        <f>BZO31</f>
        <v>#N/A</v>
      </c>
      <c r="BZP58" s="798" t="e">
        <f>BZS31</f>
        <v>#N/A</v>
      </c>
      <c r="BZQ58" s="798" t="e">
        <f>BZW31</f>
        <v>#N/A</v>
      </c>
      <c r="BZR58" s="782"/>
      <c r="BZS58" s="782"/>
      <c r="BZT58" s="782"/>
      <c r="BZU58" s="782"/>
      <c r="BZV58" s="782"/>
      <c r="BZW58" s="782"/>
      <c r="BZX58" s="782"/>
      <c r="BZY58" s="782"/>
    </row>
    <row r="59" spans="10:44 2022:2053" ht="18" hidden="1" x14ac:dyDescent="0.35">
      <c r="K59" s="174">
        <v>7</v>
      </c>
      <c r="L59" s="82" t="e">
        <f t="shared" si="16"/>
        <v>#N/A</v>
      </c>
      <c r="M59" s="48"/>
      <c r="N59" s="47" t="str">
        <f t="shared" si="17"/>
        <v>Duurzaam materiaalgebruik (hoeveel x milieubelasting)</v>
      </c>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183"/>
      <c r="AO59" s="20"/>
      <c r="AP59" s="627"/>
      <c r="AR59" s="37"/>
      <c r="BYT59" s="299"/>
      <c r="BYU59" s="782"/>
      <c r="BYV59" s="782"/>
      <c r="BYW59" s="782"/>
      <c r="BYX59" s="782"/>
      <c r="BYY59" s="782"/>
      <c r="BYZ59" s="782"/>
      <c r="BZA59" s="782"/>
      <c r="BZB59" s="782"/>
      <c r="BZC59" s="782"/>
      <c r="BZD59" s="782"/>
      <c r="BZE59" s="782"/>
      <c r="BZF59" s="782"/>
      <c r="BZG59" s="782"/>
      <c r="BZH59" s="782"/>
      <c r="BZI59" s="797" t="str">
        <f>L36</f>
        <v xml:space="preserve">Ontwerp voor optimaal beheer en onderhoud </v>
      </c>
      <c r="BZJ59" s="798" t="e">
        <f t="shared" si="18"/>
        <v>#N/A</v>
      </c>
      <c r="BZK59" s="798" t="e">
        <f>BYY32</f>
        <v>#N/A</v>
      </c>
      <c r="BZL59" s="798" t="e">
        <f>BZC32</f>
        <v>#N/A</v>
      </c>
      <c r="BZM59" s="798" t="e">
        <f>BZG32</f>
        <v>#N/A</v>
      </c>
      <c r="BZN59" s="798" t="e">
        <f>BZK32</f>
        <v>#N/A</v>
      </c>
      <c r="BZO59" s="798" t="e">
        <f>BZO32</f>
        <v>#N/A</v>
      </c>
      <c r="BZP59" s="798" t="e">
        <f>BZS32</f>
        <v>#N/A</v>
      </c>
      <c r="BZQ59" s="798" t="e">
        <f>BZW32</f>
        <v>#N/A</v>
      </c>
      <c r="BZR59" s="782"/>
      <c r="BZS59" s="782"/>
      <c r="BZT59" s="782"/>
      <c r="BZU59" s="782"/>
      <c r="BZV59" s="782"/>
      <c r="BZW59" s="782"/>
      <c r="BZX59" s="782"/>
      <c r="BZY59" s="782"/>
    </row>
    <row r="60" spans="10:44 2022:2053" ht="18" hidden="1" x14ac:dyDescent="0.35">
      <c r="K60" s="268">
        <v>8</v>
      </c>
      <c r="L60" s="82" t="e">
        <f t="shared" si="16"/>
        <v>#N/A</v>
      </c>
      <c r="M60" s="53"/>
      <c r="N60" s="47" t="str">
        <f t="shared" si="17"/>
        <v>Ontwerp voor minimaal grondstof- en energiegebruik in de aanleg/gebruiksfase</v>
      </c>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183"/>
      <c r="AO60" s="20"/>
      <c r="AP60" s="627"/>
      <c r="AR60" s="37"/>
      <c r="BYT60" s="299"/>
      <c r="BYU60" s="782"/>
      <c r="BYV60" s="782"/>
      <c r="BYW60" s="782"/>
      <c r="BYX60" s="782"/>
      <c r="BYY60" s="782"/>
      <c r="BYZ60" s="782"/>
      <c r="BZA60" s="782"/>
      <c r="BZB60" s="782"/>
      <c r="BZC60" s="782"/>
      <c r="BZD60" s="782"/>
      <c r="BZE60" s="782"/>
      <c r="BZF60" s="782"/>
      <c r="BZG60" s="782"/>
      <c r="BZH60" s="782"/>
      <c r="BZI60" s="797" t="str">
        <f>L38</f>
        <v>Duurzaam materiaalgebruik (hoeveel x milieubelasting)</v>
      </c>
      <c r="BZJ60" s="798" t="e">
        <f t="shared" si="18"/>
        <v>#N/A</v>
      </c>
      <c r="BZK60" s="798" t="e">
        <f>SUM(BYY33:BYY34)</f>
        <v>#N/A</v>
      </c>
      <c r="BZL60" s="798" t="e">
        <f>SUM(BZC33:BZC34)</f>
        <v>#N/A</v>
      </c>
      <c r="BZM60" s="798" t="e">
        <f>SUM(BZG33:BZG34)</f>
        <v>#N/A</v>
      </c>
      <c r="BZN60" s="798" t="e">
        <f>SUM(BZK33:BZK34)</f>
        <v>#N/A</v>
      </c>
      <c r="BZO60" s="798" t="e">
        <f>SUM(BZO33:BZO34)</f>
        <v>#N/A</v>
      </c>
      <c r="BZP60" s="798" t="e">
        <f>SUM(BZS33:BZS34)</f>
        <v>#N/A</v>
      </c>
      <c r="BZQ60" s="798" t="e">
        <f>SUM(BZW33:BZW34)</f>
        <v>#N/A</v>
      </c>
      <c r="BZR60" s="782"/>
      <c r="BZS60" s="782"/>
      <c r="BZT60" s="782"/>
      <c r="BZU60" s="782"/>
      <c r="BZV60" s="782"/>
      <c r="BZW60" s="782"/>
      <c r="BZX60" s="782"/>
      <c r="BZY60" s="782"/>
    </row>
    <row r="61" spans="10:44 2022:2053" ht="25.8" hidden="1" x14ac:dyDescent="0.5">
      <c r="K61" s="175" t="s">
        <v>48</v>
      </c>
      <c r="L61" s="83" t="e">
        <f>BZJ63</f>
        <v>#N/A</v>
      </c>
      <c r="M61" s="49" t="e">
        <f>BZJ63</f>
        <v>#N/A</v>
      </c>
      <c r="N61" s="50" t="s">
        <v>119</v>
      </c>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183"/>
      <c r="AO61" s="20"/>
      <c r="AP61" s="627"/>
      <c r="AR61" s="37"/>
      <c r="BYT61" s="299"/>
      <c r="BYU61" s="782"/>
      <c r="BYV61" s="782"/>
      <c r="BYW61" s="782"/>
      <c r="BYX61" s="782"/>
      <c r="BYY61" s="782"/>
      <c r="BYZ61" s="782"/>
      <c r="BZA61" s="782"/>
      <c r="BZB61" s="782"/>
      <c r="BZC61" s="782"/>
      <c r="BZD61" s="782"/>
      <c r="BZE61" s="782"/>
      <c r="BZF61" s="782"/>
      <c r="BZG61" s="782"/>
      <c r="BZH61" s="782"/>
      <c r="BZI61" s="797" t="str">
        <f>L41</f>
        <v>Ontwerp voor minimaal grondstof- en energiegebruik in de aanleg/gebruiksfase</v>
      </c>
      <c r="BZJ61" s="798" t="e">
        <f t="shared" si="18"/>
        <v>#N/A</v>
      </c>
      <c r="BZK61" s="798" t="e">
        <f>BYY35</f>
        <v>#N/A</v>
      </c>
      <c r="BZL61" s="798" t="e">
        <f>BZC35</f>
        <v>#N/A</v>
      </c>
      <c r="BZM61" s="798" t="e">
        <f>BZG35</f>
        <v>#N/A</v>
      </c>
      <c r="BZN61" s="798" t="e">
        <f>BZK35</f>
        <v>#N/A</v>
      </c>
      <c r="BZO61" s="798" t="e">
        <f>BZO35</f>
        <v>#N/A</v>
      </c>
      <c r="BZP61" s="798" t="e">
        <f>BZS35</f>
        <v>#N/A</v>
      </c>
      <c r="BZQ61" s="798" t="e">
        <f>BZW35</f>
        <v>#N/A</v>
      </c>
      <c r="BZR61" s="782"/>
      <c r="BZS61" s="782"/>
      <c r="BZT61" s="782"/>
      <c r="BZU61" s="782"/>
      <c r="BZV61" s="782"/>
      <c r="BZW61" s="782"/>
      <c r="BZX61" s="782"/>
      <c r="BZY61" s="782"/>
    </row>
    <row r="62" spans="10:44 2022:2053" ht="21" hidden="1" x14ac:dyDescent="0.4">
      <c r="K62" s="176"/>
      <c r="L62" s="177" t="e">
        <f>BZJ62</f>
        <v>#N/A</v>
      </c>
      <c r="M62" s="178" t="e">
        <f>BZJ62</f>
        <v>#N/A</v>
      </c>
      <c r="N62" s="188" t="s">
        <v>120</v>
      </c>
      <c r="O62" s="20"/>
      <c r="P62" s="189"/>
      <c r="Q62" s="189"/>
      <c r="R62" s="189"/>
      <c r="S62" s="189"/>
      <c r="T62" s="189"/>
      <c r="U62" s="38"/>
      <c r="V62" s="38"/>
      <c r="W62" s="38"/>
      <c r="X62" s="38"/>
      <c r="Y62" s="38"/>
      <c r="Z62" s="38"/>
      <c r="AA62" s="38"/>
      <c r="AB62" s="38"/>
      <c r="AC62" s="38"/>
      <c r="AD62" s="38"/>
      <c r="AE62" s="38"/>
      <c r="AF62" s="38"/>
      <c r="AG62" s="38"/>
      <c r="AH62" s="38"/>
      <c r="AI62" s="38"/>
      <c r="AJ62" s="38"/>
      <c r="AK62" s="38"/>
      <c r="AL62" s="38"/>
      <c r="AM62" s="38"/>
      <c r="AN62" s="184"/>
      <c r="AO62" s="38"/>
      <c r="AP62" s="628"/>
      <c r="AR62" s="37"/>
      <c r="BYT62" s="299"/>
      <c r="BYU62" s="782"/>
      <c r="BYV62" s="782"/>
      <c r="BYW62" s="782"/>
      <c r="BYX62" s="782"/>
      <c r="BYY62" s="782"/>
      <c r="BYZ62" s="782"/>
      <c r="BZA62" s="782"/>
      <c r="BZB62" s="782"/>
      <c r="BZC62" s="782"/>
      <c r="BZD62" s="782"/>
      <c r="BZE62" s="782"/>
      <c r="BZF62" s="782"/>
      <c r="BZG62" s="782"/>
      <c r="BZH62" s="782"/>
      <c r="BZI62" s="797" t="s">
        <v>121</v>
      </c>
      <c r="BZJ62" s="798" t="e">
        <f t="shared" si="18"/>
        <v>#N/A</v>
      </c>
      <c r="BZK62" s="798" t="e">
        <f>100-BZK63</f>
        <v>#N/A</v>
      </c>
      <c r="BZL62" s="798" t="e">
        <f>100-BZL63</f>
        <v>#N/A</v>
      </c>
      <c r="BZM62" s="798" t="e">
        <f t="shared" ref="BZM62:BZQ62" si="19">100-BZM63</f>
        <v>#N/A</v>
      </c>
      <c r="BZN62" s="798" t="e">
        <f t="shared" si="19"/>
        <v>#N/A</v>
      </c>
      <c r="BZO62" s="798" t="e">
        <f t="shared" si="19"/>
        <v>#N/A</v>
      </c>
      <c r="BZP62" s="798" t="e">
        <f t="shared" si="19"/>
        <v>#N/A</v>
      </c>
      <c r="BZQ62" s="798" t="e">
        <f t="shared" si="19"/>
        <v>#N/A</v>
      </c>
      <c r="BZR62" s="782"/>
      <c r="BZS62" s="782"/>
      <c r="BZT62" s="782"/>
      <c r="BZU62" s="782"/>
      <c r="BZV62" s="782"/>
      <c r="BZW62" s="782"/>
      <c r="BZX62" s="782"/>
      <c r="BZY62" s="782"/>
    </row>
    <row r="63" spans="10:44 2022:2053" ht="33.6" customHeight="1" x14ac:dyDescent="0.3">
      <c r="O63" s="20"/>
      <c r="AR63" s="37"/>
      <c r="BYT63" s="299"/>
      <c r="BYU63" s="782"/>
      <c r="BYV63" s="782"/>
      <c r="BYW63" s="782"/>
      <c r="BYX63" s="782"/>
      <c r="BYY63" s="782"/>
      <c r="BYZ63" s="782"/>
      <c r="BZA63" s="782"/>
      <c r="BZB63" s="782"/>
      <c r="BZC63" s="782"/>
      <c r="BZD63" s="782"/>
      <c r="BZE63" s="782"/>
      <c r="BZF63" s="782"/>
      <c r="BZG63" s="782"/>
      <c r="BZH63" s="782"/>
      <c r="BZI63" s="782" t="s">
        <v>122</v>
      </c>
      <c r="BZJ63" s="799" t="e">
        <f>ROUND(SUM(BZJ54:BZJ61),0)</f>
        <v>#N/A</v>
      </c>
      <c r="BZK63" s="799" t="e">
        <f t="shared" ref="BZK63" si="20">SUM(BZK54:BZK61)</f>
        <v>#N/A</v>
      </c>
      <c r="BZL63" s="799" t="e">
        <f t="shared" ref="BZL63:BZQ63" si="21">SUM(BZL54:BZL61)</f>
        <v>#N/A</v>
      </c>
      <c r="BZM63" s="799" t="e">
        <f t="shared" si="21"/>
        <v>#N/A</v>
      </c>
      <c r="BZN63" s="799" t="e">
        <f t="shared" si="21"/>
        <v>#N/A</v>
      </c>
      <c r="BZO63" s="799" t="e">
        <f t="shared" si="21"/>
        <v>#N/A</v>
      </c>
      <c r="BZP63" s="799" t="e">
        <f t="shared" si="21"/>
        <v>#N/A</v>
      </c>
      <c r="BZQ63" s="799" t="e">
        <f t="shared" si="21"/>
        <v>#N/A</v>
      </c>
      <c r="BZR63" s="782"/>
      <c r="BZS63" s="782"/>
      <c r="BZT63" s="782"/>
      <c r="BZU63" s="782"/>
      <c r="BZV63" s="782"/>
      <c r="BZW63" s="782"/>
      <c r="BZX63" s="782"/>
      <c r="BZY63" s="782"/>
    </row>
    <row r="64" spans="10:44 2022:2053" x14ac:dyDescent="0.3">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183"/>
      <c r="AO64" s="20"/>
      <c r="AP64" s="126"/>
      <c r="AR64" s="37"/>
      <c r="BYT64" s="299"/>
      <c r="BYU64" s="782"/>
      <c r="BYV64" s="782"/>
      <c r="BYW64" s="782"/>
      <c r="BYX64" s="782"/>
      <c r="BYY64" s="782"/>
      <c r="BYZ64" s="782"/>
      <c r="BZA64" s="782"/>
      <c r="BZB64" s="782"/>
      <c r="BZC64" s="782"/>
      <c r="BZD64" s="782"/>
      <c r="BZE64" s="782"/>
      <c r="BZF64" s="782"/>
      <c r="BZG64" s="782"/>
      <c r="BZH64" s="782"/>
      <c r="BZI64" s="782"/>
      <c r="BZJ64" s="782"/>
      <c r="BZK64" s="782">
        <f t="shared" ref="BZK64:BZQ64" si="22">IF($K$47/BZK52=1,1,0)</f>
        <v>0</v>
      </c>
      <c r="BZL64" s="782">
        <f t="shared" si="22"/>
        <v>1</v>
      </c>
      <c r="BZM64" s="782">
        <f t="shared" si="22"/>
        <v>0</v>
      </c>
      <c r="BZN64" s="782">
        <f t="shared" si="22"/>
        <v>0</v>
      </c>
      <c r="BZO64" s="782">
        <f t="shared" si="22"/>
        <v>0</v>
      </c>
      <c r="BZP64" s="782">
        <f t="shared" si="22"/>
        <v>0</v>
      </c>
      <c r="BZQ64" s="782">
        <f t="shared" si="22"/>
        <v>0</v>
      </c>
      <c r="BZR64" s="782"/>
      <c r="BZS64" s="782"/>
      <c r="BZT64" s="782"/>
      <c r="BZU64" s="782"/>
      <c r="BZV64" s="782"/>
      <c r="BZW64" s="782"/>
      <c r="BZX64" s="782"/>
      <c r="BZY64" s="782"/>
    </row>
    <row r="65" spans="11:44 2022:2053" ht="18" x14ac:dyDescent="0.35">
      <c r="K65" s="593"/>
      <c r="L65" s="594" t="str">
        <f>"Referentiemonitor Circulaire Peiler - Overzicht MKI / MCI (CB'23) / CO2 quotiënten van de "&amp;N8</f>
        <v>Referentiemonitor Circulaire Peiler - Overzicht MKI / MCI (CB'23) / CO2 quotiënten van de verkenningsfase</v>
      </c>
      <c r="M65" s="595"/>
      <c r="N65" s="595"/>
      <c r="O65" s="20"/>
      <c r="P65" s="595"/>
      <c r="Q65" s="595"/>
      <c r="R65" s="595"/>
      <c r="S65" s="595"/>
      <c r="T65" s="595"/>
      <c r="U65" s="595"/>
      <c r="V65" s="595"/>
      <c r="W65" s="595"/>
      <c r="X65" s="595"/>
      <c r="Y65" s="595"/>
      <c r="Z65" s="595"/>
      <c r="AA65" s="595"/>
      <c r="AB65" s="595"/>
      <c r="AC65" s="595"/>
      <c r="AD65" s="595"/>
      <c r="AE65" s="595"/>
      <c r="AF65" s="595"/>
      <c r="AG65" s="595"/>
      <c r="AH65" s="595"/>
      <c r="AI65" s="595"/>
      <c r="AJ65" s="595"/>
      <c r="AK65" s="595"/>
      <c r="AL65" s="604" t="s">
        <v>319</v>
      </c>
      <c r="AM65" s="595"/>
      <c r="AN65" s="596"/>
      <c r="AO65" s="595"/>
      <c r="AP65" s="630"/>
      <c r="AR65" s="37"/>
      <c r="BYT65" s="299"/>
      <c r="BYU65" s="782"/>
      <c r="BYV65" s="782"/>
      <c r="BYW65" s="782"/>
      <c r="BYX65" s="782"/>
      <c r="BYY65" s="782"/>
      <c r="BYZ65" s="782"/>
      <c r="BZA65" s="782"/>
      <c r="BZB65" s="782"/>
      <c r="BZC65" s="782"/>
      <c r="BZD65" s="782"/>
      <c r="BZE65" s="782"/>
      <c r="BZF65" s="782"/>
      <c r="BZG65" s="782"/>
      <c r="BZH65" s="782"/>
      <c r="BZI65" s="782"/>
      <c r="BZJ65" s="782"/>
      <c r="BZK65" s="782"/>
      <c r="BZL65" s="782"/>
      <c r="BZM65" s="782"/>
      <c r="BZN65" s="782"/>
      <c r="BZO65" s="782"/>
      <c r="BZP65" s="782"/>
      <c r="BZQ65" s="782"/>
      <c r="BZR65" s="782"/>
      <c r="BZS65" s="782"/>
      <c r="BZT65" s="782"/>
      <c r="BZU65" s="782"/>
      <c r="BZV65" s="782"/>
      <c r="BZW65" s="782"/>
      <c r="BZX65" s="782"/>
      <c r="BZY65" s="782"/>
    </row>
    <row r="66" spans="11:44 2022:2053" ht="18" x14ac:dyDescent="0.35">
      <c r="K66" s="608" t="s">
        <v>123</v>
      </c>
      <c r="L66" s="474"/>
      <c r="M66" s="474"/>
      <c r="N66" s="474"/>
      <c r="O66" s="20"/>
      <c r="P66" s="20"/>
      <c r="Q66" s="20"/>
      <c r="R66" s="20"/>
      <c r="S66" s="20"/>
      <c r="T66" s="20"/>
      <c r="U66" s="20"/>
      <c r="V66" s="20"/>
      <c r="W66" s="20"/>
      <c r="X66" s="20"/>
      <c r="Y66" s="20"/>
      <c r="Z66" s="20"/>
      <c r="AA66" s="20"/>
      <c r="AB66" s="20"/>
      <c r="AC66" s="20"/>
      <c r="AD66" s="20"/>
      <c r="AE66" s="20"/>
      <c r="AF66" s="20"/>
      <c r="AG66" s="20"/>
      <c r="AH66" s="20"/>
      <c r="AI66" s="20"/>
      <c r="AJ66" s="20"/>
      <c r="AK66" s="20"/>
      <c r="AL66" s="609" t="str">
        <f>"MKI referentie = €"&amp;" "&amp;N68&amp;""</f>
        <v xml:space="preserve">MKI referentie = € </v>
      </c>
      <c r="AM66" s="612"/>
      <c r="AN66" s="613"/>
      <c r="AO66" s="612"/>
      <c r="AP66" s="631"/>
      <c r="AR66" s="37"/>
      <c r="BYT66" s="299"/>
      <c r="BYU66" s="782"/>
      <c r="BYV66" s="782"/>
      <c r="BYW66" s="782"/>
      <c r="BYX66" s="782"/>
      <c r="BYY66" s="782"/>
      <c r="BYZ66" s="782"/>
      <c r="BZA66" s="782"/>
      <c r="BZB66" s="782"/>
      <c r="BZC66" s="782"/>
      <c r="BZD66" s="782"/>
      <c r="BZE66" s="782"/>
      <c r="BZF66" s="782"/>
      <c r="BZG66" s="782"/>
      <c r="BZH66" s="782"/>
      <c r="BZI66" s="782"/>
      <c r="BZJ66" s="782"/>
      <c r="BZK66" s="782"/>
      <c r="BZL66" s="782"/>
      <c r="BZM66" s="782"/>
      <c r="BZN66" s="782"/>
      <c r="BZO66" s="782"/>
      <c r="BZP66" s="782"/>
      <c r="BZQ66" s="782"/>
      <c r="BZR66" s="782"/>
      <c r="BZS66" s="782"/>
      <c r="BZT66" s="782"/>
      <c r="BZU66" s="782"/>
      <c r="BZV66" s="782"/>
      <c r="BZW66" s="782"/>
      <c r="BZX66" s="782"/>
      <c r="BZY66" s="782"/>
    </row>
    <row r="67" spans="11:44 2022:2053" ht="18" x14ac:dyDescent="0.35">
      <c r="K67" s="597" t="s">
        <v>124</v>
      </c>
      <c r="L67" s="236"/>
      <c r="M67" s="551" t="str">
        <f>IF(N67="","         voer hier de MKI van het project in","")</f>
        <v xml:space="preserve">         voer hier de MKI van het project in</v>
      </c>
      <c r="N67" s="586"/>
      <c r="O67" s="20"/>
      <c r="P67" s="20"/>
      <c r="Q67" s="20"/>
      <c r="R67" s="20"/>
      <c r="S67" s="20"/>
      <c r="T67" s="20"/>
      <c r="U67" s="20"/>
      <c r="V67" s="20"/>
      <c r="W67" s="20"/>
      <c r="X67" s="20"/>
      <c r="Y67" s="20"/>
      <c r="Z67" s="20"/>
      <c r="AA67" s="20"/>
      <c r="AB67" s="20"/>
      <c r="AC67" s="20"/>
      <c r="AD67" s="20"/>
      <c r="AE67" s="20"/>
      <c r="AF67" s="20"/>
      <c r="AG67" s="20"/>
      <c r="AH67" s="20"/>
      <c r="AI67" s="20"/>
      <c r="AJ67" s="20"/>
      <c r="AK67" s="20"/>
      <c r="AL67" s="605" t="str">
        <f>"MKI reductie"</f>
        <v>MKI reductie</v>
      </c>
      <c r="AM67" s="20"/>
      <c r="AN67" s="259" t="str">
        <f>"MKI reductie t.o.v. referentie € "&amp;N68</f>
        <v xml:space="preserve">MKI reductie t.o.v. referentie € </v>
      </c>
      <c r="AO67" s="639" t="e">
        <f>1-AP67</f>
        <v>#VALUE!</v>
      </c>
      <c r="AP67" s="632" t="str">
        <f>IF(N68=0,"?",(1-N67/(N68+0.0000001)))</f>
        <v>?</v>
      </c>
      <c r="AR67" s="780"/>
      <c r="BYT67" s="299"/>
      <c r="BYU67" s="782"/>
      <c r="BYV67" s="782"/>
      <c r="BYW67" s="782"/>
      <c r="BYX67" s="782"/>
      <c r="BYY67" s="782"/>
      <c r="BYZ67" s="782"/>
      <c r="BZA67" s="782"/>
      <c r="BZB67" s="782"/>
      <c r="BZC67" s="782"/>
      <c r="BZD67" s="782"/>
      <c r="BZE67" s="782"/>
      <c r="BZF67" s="782"/>
      <c r="BZG67" s="782"/>
      <c r="BZH67" s="782"/>
      <c r="BZI67" s="782"/>
      <c r="BZJ67" s="782"/>
      <c r="BZK67" s="782"/>
      <c r="BZL67" s="782"/>
      <c r="BZM67" s="782"/>
      <c r="BZN67" s="782"/>
      <c r="BZO67" s="782"/>
      <c r="BZP67" s="782"/>
      <c r="BZQ67" s="782"/>
      <c r="BZR67" s="782"/>
      <c r="BZS67" s="782"/>
      <c r="BZT67" s="782"/>
      <c r="BZU67" s="782"/>
      <c r="BZV67" s="782"/>
      <c r="BZW67" s="782"/>
      <c r="BZX67" s="782"/>
      <c r="BZY67" s="782"/>
    </row>
    <row r="68" spans="11:44 2022:2053" ht="18" x14ac:dyDescent="0.35">
      <c r="K68" s="597" t="s">
        <v>125</v>
      </c>
      <c r="L68" s="236"/>
      <c r="M68" s="551" t="str">
        <f>IF(N68="","         voer hier de MKI van het referentieobject/project in","")</f>
        <v xml:space="preserve">         voer hier de MKI van het referentieobject/project in</v>
      </c>
      <c r="N68" s="586"/>
      <c r="O68" s="20"/>
      <c r="P68" s="20"/>
      <c r="Q68" s="20"/>
      <c r="R68" s="20"/>
      <c r="S68" s="20"/>
      <c r="T68" s="20"/>
      <c r="U68" s="20"/>
      <c r="V68" s="20"/>
      <c r="W68" s="20"/>
      <c r="X68" s="20"/>
      <c r="Y68" s="20"/>
      <c r="Z68" s="20"/>
      <c r="AA68" s="20"/>
      <c r="AB68" s="20"/>
      <c r="AC68" s="20"/>
      <c r="AD68" s="20"/>
      <c r="AE68" s="20"/>
      <c r="AF68" s="20"/>
      <c r="AG68" s="20"/>
      <c r="AH68" s="20"/>
      <c r="AI68" s="20"/>
      <c r="AJ68" s="20"/>
      <c r="AK68" s="20"/>
      <c r="AL68" s="236" t="s">
        <v>126</v>
      </c>
      <c r="AM68" s="20"/>
      <c r="AN68" s="183"/>
      <c r="AO68" s="20"/>
      <c r="AP68" s="633" t="str">
        <f>IF(AP67="?","?",N67/(N68+0.000001))</f>
        <v>?</v>
      </c>
      <c r="AR68" s="780"/>
    </row>
    <row r="69" spans="11:44 2022:2053" ht="18" x14ac:dyDescent="0.35">
      <c r="K69" s="598"/>
      <c r="L69" s="295"/>
      <c r="M69" s="295"/>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183"/>
      <c r="AO69" s="20"/>
      <c r="AP69" s="634" t="e">
        <f>1-AP67</f>
        <v>#VALUE!</v>
      </c>
      <c r="AR69" s="37"/>
    </row>
    <row r="70" spans="11:44 2022:2053" ht="18" x14ac:dyDescent="0.35">
      <c r="K70" s="607" t="s">
        <v>347</v>
      </c>
      <c r="L70" s="475"/>
      <c r="M70" s="475"/>
      <c r="N70" s="475"/>
      <c r="O70" s="20"/>
      <c r="P70" s="20"/>
      <c r="Q70" s="20"/>
      <c r="R70" s="20"/>
      <c r="S70" s="20"/>
      <c r="T70" s="20"/>
      <c r="U70" s="20"/>
      <c r="V70" s="20"/>
      <c r="W70" s="20"/>
      <c r="X70" s="20"/>
      <c r="Y70" s="20"/>
      <c r="Z70" s="20"/>
      <c r="AA70" s="20"/>
      <c r="AB70" s="20"/>
      <c r="AC70" s="20"/>
      <c r="AD70" s="20"/>
      <c r="AE70" s="20"/>
      <c r="AF70" s="20"/>
      <c r="AG70" s="20"/>
      <c r="AH70" s="20"/>
      <c r="AI70" s="20"/>
      <c r="AJ70" s="20"/>
      <c r="AK70" s="20"/>
      <c r="AL70" s="610" t="str">
        <f>"MCI referentie ="&amp;" "&amp;N72&amp;"[-]"</f>
        <v>MCI referentie = [-]</v>
      </c>
      <c r="AM70" s="614"/>
      <c r="AN70" s="615"/>
      <c r="AO70" s="614"/>
      <c r="AP70" s="635"/>
      <c r="AR70" s="37"/>
    </row>
    <row r="71" spans="11:44 2022:2053" ht="18" x14ac:dyDescent="0.35">
      <c r="K71" s="597" t="s">
        <v>373</v>
      </c>
      <c r="L71" s="236"/>
      <c r="M71" s="551" t="str">
        <f>IF(N71="","         voer hier de circulariteitsindex (CI) van het project in volgens bijlage G kernmeetmethode CB'23","")</f>
        <v xml:space="preserve">         voer hier de circulariteitsindex (CI) van het project in volgens bijlage G kernmeetmethode CB'23</v>
      </c>
      <c r="N71" s="652"/>
      <c r="O71" s="20"/>
      <c r="P71" s="20"/>
      <c r="Q71" s="20"/>
      <c r="R71" s="20"/>
      <c r="S71" s="20"/>
      <c r="T71" s="20"/>
      <c r="U71" s="20"/>
      <c r="V71" s="20"/>
      <c r="W71" s="20"/>
      <c r="X71" s="20"/>
      <c r="Y71" s="20"/>
      <c r="Z71" s="20"/>
      <c r="AA71" s="20"/>
      <c r="AB71" s="20"/>
      <c r="AC71" s="20"/>
      <c r="AD71" s="20"/>
      <c r="AE71" s="20"/>
      <c r="AF71" s="20"/>
      <c r="AG71" s="20"/>
      <c r="AH71" s="20"/>
      <c r="AI71" s="20"/>
      <c r="AJ71" s="20"/>
      <c r="AK71" s="20"/>
      <c r="AL71" s="605" t="str">
        <f>"MCI reductie"</f>
        <v>MCI reductie</v>
      </c>
      <c r="AM71" s="20"/>
      <c r="AN71" s="259" t="str">
        <f>"MCI reductie t.o.v. referentie "&amp;N72&amp;" [-]"</f>
        <v>MCI reductie t.o.v. referentie  [-]</v>
      </c>
      <c r="AO71" s="639" t="e">
        <f>1-AP71</f>
        <v>#VALUE!</v>
      </c>
      <c r="AP71" s="632" t="str">
        <f>IF(N72=0,"?",N71-N72)</f>
        <v>?</v>
      </c>
      <c r="AR71" s="780"/>
    </row>
    <row r="72" spans="11:44 2022:2053" ht="18" x14ac:dyDescent="0.35">
      <c r="K72" s="597" t="s">
        <v>374</v>
      </c>
      <c r="L72" s="236"/>
      <c r="M72" s="551" t="str">
        <f>IF(N72="","         voer hier de circulariteitsindex (MCI) van het referentieobject/project in volgens bijlage G kernmeetmethode CB'23","")</f>
        <v xml:space="preserve">         voer hier de circulariteitsindex (MCI) van het referentieobject/project in volgens bijlage G kernmeetmethode CB'23</v>
      </c>
      <c r="N72" s="652"/>
      <c r="O72" s="20"/>
      <c r="P72" s="20"/>
      <c r="Q72" s="20"/>
      <c r="R72" s="20"/>
      <c r="S72" s="20"/>
      <c r="T72" s="20"/>
      <c r="U72" s="20"/>
      <c r="V72" s="20"/>
      <c r="W72" s="20"/>
      <c r="X72" s="20"/>
      <c r="Y72" s="20"/>
      <c r="Z72" s="20"/>
      <c r="AA72" s="20"/>
      <c r="AB72" s="20"/>
      <c r="AC72" s="20"/>
      <c r="AD72" s="20"/>
      <c r="AE72" s="20"/>
      <c r="AF72" s="20"/>
      <c r="AG72" s="20"/>
      <c r="AH72" s="20"/>
      <c r="AI72" s="20"/>
      <c r="AJ72" s="20"/>
      <c r="AK72" s="20"/>
      <c r="AL72" s="236" t="s">
        <v>348</v>
      </c>
      <c r="AM72" s="20"/>
      <c r="AN72" s="183"/>
      <c r="AO72" s="20"/>
      <c r="AP72" s="633" t="str">
        <f>IF(AP71="?","?",1-AP71)</f>
        <v>?</v>
      </c>
      <c r="AR72" s="780"/>
    </row>
    <row r="73" spans="11:44 2022:2053" x14ac:dyDescent="0.3">
      <c r="K73" s="598"/>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183"/>
      <c r="AO73" s="20"/>
      <c r="AP73" s="634" t="e">
        <f>1-AP71</f>
        <v>#VALUE!</v>
      </c>
      <c r="AR73" s="37"/>
    </row>
    <row r="74" spans="11:44 2022:2053" ht="20.399999999999999" x14ac:dyDescent="0.45">
      <c r="K74" s="606" t="s">
        <v>320</v>
      </c>
      <c r="L74" s="476"/>
      <c r="M74" s="476"/>
      <c r="N74" s="476"/>
      <c r="O74" s="20"/>
      <c r="P74" s="20"/>
      <c r="Q74" s="20"/>
      <c r="R74" s="20"/>
      <c r="S74" s="20"/>
      <c r="T74" s="20"/>
      <c r="U74" s="20"/>
      <c r="V74" s="20"/>
      <c r="W74" s="20"/>
      <c r="X74" s="20"/>
      <c r="Y74" s="20"/>
      <c r="Z74" s="20"/>
      <c r="AA74" s="20"/>
      <c r="AB74" s="20"/>
      <c r="AC74" s="20"/>
      <c r="AD74" s="20"/>
      <c r="AE74" s="20"/>
      <c r="AF74" s="20"/>
      <c r="AG74" s="20"/>
      <c r="AH74" s="20"/>
      <c r="AI74" s="20"/>
      <c r="AJ74" s="20"/>
      <c r="AK74" s="20"/>
      <c r="AL74" s="611" t="str">
        <f>"CO2 referentie ="&amp;" "&amp;N76&amp;" ton CO2"</f>
        <v>CO2 referentie =  ton CO2</v>
      </c>
      <c r="AM74" s="139"/>
      <c r="AN74" s="616"/>
      <c r="AO74" s="139"/>
      <c r="AP74" s="636"/>
      <c r="AR74" s="37"/>
    </row>
    <row r="75" spans="11:44 2022:2053" ht="20.399999999999999" x14ac:dyDescent="0.45">
      <c r="K75" s="597" t="s">
        <v>310</v>
      </c>
      <c r="L75" s="236"/>
      <c r="M75" s="551" t="str">
        <f>IF(N75="","         voer hier de CO2 uitstoot van het project in","")</f>
        <v xml:space="preserve">         voer hier de CO2 uitstoot van het project in</v>
      </c>
      <c r="N75" s="586"/>
      <c r="O75" s="20"/>
      <c r="P75" s="20"/>
      <c r="Q75" s="20"/>
      <c r="R75" s="20"/>
      <c r="S75" s="20"/>
      <c r="T75" s="20"/>
      <c r="U75" s="20"/>
      <c r="V75" s="20"/>
      <c r="W75" s="20"/>
      <c r="X75" s="20"/>
      <c r="Y75" s="20"/>
      <c r="Z75" s="20"/>
      <c r="AA75" s="20"/>
      <c r="AB75" s="20"/>
      <c r="AC75" s="20"/>
      <c r="AD75" s="20"/>
      <c r="AE75" s="20"/>
      <c r="AF75" s="20"/>
      <c r="AG75" s="20"/>
      <c r="AH75" s="20"/>
      <c r="AI75" s="20"/>
      <c r="AJ75" s="20"/>
      <c r="AK75" s="20"/>
      <c r="AL75" s="592" t="str">
        <f>"CO2 reductie"</f>
        <v>CO2 reductie</v>
      </c>
      <c r="AM75" s="20"/>
      <c r="AN75" s="259" t="str">
        <f>"CO2 reductie t.o.v. referentie "&amp;N76&amp;" tonCO2"</f>
        <v>CO2 reductie t.o.v. referentie  tonCO2</v>
      </c>
      <c r="AO75" s="639" t="e">
        <f>1-AP75</f>
        <v>#VALUE!</v>
      </c>
      <c r="AP75" s="637" t="str">
        <f>IF(N76=0,"?",1-N75/(N76+0.0000001))</f>
        <v>?</v>
      </c>
      <c r="AR75" s="780"/>
    </row>
    <row r="76" spans="11:44 2022:2053" ht="17.399999999999999" customHeight="1" x14ac:dyDescent="0.45">
      <c r="K76" s="597" t="s">
        <v>311</v>
      </c>
      <c r="L76" s="236"/>
      <c r="M76" s="551" t="str">
        <f>IF(N76="","         voer hier de CO2 uitstoot van het referentieobject/project in","")</f>
        <v xml:space="preserve">         voer hier de CO2 uitstoot van het referentieobject/project in</v>
      </c>
      <c r="N76" s="586"/>
      <c r="O76" s="20"/>
      <c r="P76" s="20"/>
      <c r="Q76" s="20"/>
      <c r="R76" s="20"/>
      <c r="S76" s="20"/>
      <c r="T76" s="20"/>
      <c r="U76" s="20"/>
      <c r="V76" s="20"/>
      <c r="W76" s="20"/>
      <c r="X76" s="20"/>
      <c r="Y76" s="20"/>
      <c r="Z76" s="20"/>
      <c r="AA76" s="20"/>
      <c r="AB76" s="20"/>
      <c r="AC76" s="20"/>
      <c r="AD76" s="20"/>
      <c r="AE76" s="20"/>
      <c r="AF76" s="20"/>
      <c r="AG76" s="20"/>
      <c r="AH76" s="20"/>
      <c r="AI76" s="20"/>
      <c r="AJ76" s="20"/>
      <c r="AK76" s="20"/>
      <c r="AL76" s="236" t="s">
        <v>312</v>
      </c>
      <c r="AM76" s="20"/>
      <c r="AN76" s="183"/>
      <c r="AO76" s="20"/>
      <c r="AP76" s="633" t="str">
        <f>IF(AP75="?","?",N75/(N76+0.000001))</f>
        <v>?</v>
      </c>
      <c r="AR76" s="780"/>
    </row>
    <row r="77" spans="11:44 2022:2053" ht="14.4" customHeight="1" x14ac:dyDescent="0.35">
      <c r="K77" s="599"/>
      <c r="L77" s="600"/>
      <c r="M77" s="600"/>
      <c r="N77" s="601"/>
      <c r="O77" s="602"/>
      <c r="P77" s="602"/>
      <c r="Q77" s="602"/>
      <c r="R77" s="602"/>
      <c r="S77" s="602"/>
      <c r="T77" s="602"/>
      <c r="U77" s="602"/>
      <c r="V77" s="602"/>
      <c r="W77" s="602"/>
      <c r="X77" s="602"/>
      <c r="Y77" s="602"/>
      <c r="Z77" s="602"/>
      <c r="AA77" s="602"/>
      <c r="AB77" s="602"/>
      <c r="AC77" s="602"/>
      <c r="AD77" s="602"/>
      <c r="AE77" s="602"/>
      <c r="AF77" s="602"/>
      <c r="AG77" s="602"/>
      <c r="AH77" s="602"/>
      <c r="AI77" s="602"/>
      <c r="AJ77" s="602"/>
      <c r="AK77" s="602"/>
      <c r="AL77" s="602"/>
      <c r="AM77" s="602"/>
      <c r="AN77" s="603"/>
      <c r="AO77" s="602"/>
      <c r="AP77" s="638" t="e">
        <f>1-AP75</f>
        <v>#VALUE!</v>
      </c>
      <c r="AR77" s="37"/>
    </row>
    <row r="78" spans="11:44 2022:2053" ht="14.4" customHeight="1" x14ac:dyDescent="0.3">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183"/>
      <c r="AO78" s="20"/>
      <c r="AP78" s="126"/>
      <c r="AR78" s="37"/>
    </row>
    <row r="79" spans="11:44 2022:2053" x14ac:dyDescent="0.3">
      <c r="AR79" s="37"/>
    </row>
    <row r="80" spans="11:44 2022:2053" x14ac:dyDescent="0.3">
      <c r="AR80" s="37"/>
    </row>
    <row r="81" spans="12:44" ht="18" x14ac:dyDescent="0.35">
      <c r="L81" s="296"/>
      <c r="M81" s="296"/>
      <c r="O81" s="20"/>
      <c r="P81" s="20"/>
      <c r="Q81" s="20"/>
      <c r="R81" s="20"/>
      <c r="S81" s="20"/>
      <c r="T81" s="20"/>
      <c r="U81" s="20"/>
      <c r="V81" s="20"/>
      <c r="W81" s="20"/>
      <c r="X81" s="20"/>
      <c r="Y81" s="20"/>
      <c r="Z81" s="20"/>
      <c r="AA81" s="20"/>
      <c r="AB81" s="20"/>
      <c r="AC81" s="20"/>
      <c r="AD81" s="20"/>
      <c r="AE81" s="20"/>
      <c r="AF81" s="20"/>
      <c r="AG81" s="20"/>
      <c r="AH81" s="20"/>
      <c r="AI81" s="20"/>
      <c r="AJ81" s="20"/>
      <c r="AK81" s="20"/>
      <c r="AM81" s="20"/>
      <c r="AN81" s="183"/>
      <c r="AO81" s="183"/>
      <c r="AP81" s="183"/>
      <c r="AQ81" s="183"/>
      <c r="AR81" s="37"/>
    </row>
    <row r="82" spans="12:44" x14ac:dyDescent="0.3">
      <c r="L82" s="20"/>
      <c r="M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183"/>
      <c r="AO82" s="183"/>
      <c r="AP82" s="183"/>
      <c r="AQ82" s="183"/>
      <c r="AR82" s="37"/>
    </row>
    <row r="83" spans="12:44" x14ac:dyDescent="0.3">
      <c r="AR83" s="37"/>
    </row>
    <row r="84" spans="12:44" x14ac:dyDescent="0.3">
      <c r="AR84" s="37"/>
    </row>
    <row r="85" spans="12:44" x14ac:dyDescent="0.3">
      <c r="AR85" s="37"/>
    </row>
    <row r="86" spans="12:44" x14ac:dyDescent="0.3">
      <c r="AR86" s="37"/>
    </row>
    <row r="87" spans="12:44" x14ac:dyDescent="0.3">
      <c r="AR87" s="37"/>
    </row>
    <row r="88" spans="12:44" ht="21" x14ac:dyDescent="0.4">
      <c r="L88" s="40"/>
    </row>
  </sheetData>
  <sheetProtection algorithmName="SHA-512" hashValue="ZHQnIasnAeFWdBogtxr1aftaG4hrUVngUIfC8ZLerSozKYbISMfw/OK2MKwMkHsCQjg8xLWxWm7qbgv24ku7BQ==" saltValue="oON9vChoUI1eKmY3q4vFXQ==" spinCount="100000" sheet="1" objects="1" scenarios="1"/>
  <conditionalFormatting sqref="AE24:AJ24 AE26:AK26">
    <cfRule type="dataBar" priority="60">
      <dataBar>
        <cfvo type="min"/>
        <cfvo type="max"/>
        <color rgb="FF638EC6"/>
      </dataBar>
      <extLst>
        <ext xmlns:x14="http://schemas.microsoft.com/office/spreadsheetml/2009/9/main" uri="{B025F937-C7B1-47D3-B67F-A62EFF666E3E}">
          <x14:id>{AA4E44E7-8054-406F-9F4B-B3382577FDCD}</x14:id>
        </ext>
      </extLst>
    </cfRule>
  </conditionalFormatting>
  <conditionalFormatting sqref="AE22:AI22 AE28:AK30 AE32:AK33 AE35:AK35 AE37:AK37 AE39:AK40 AE42:AK42">
    <cfRule type="dataBar" priority="59">
      <dataBar>
        <cfvo type="min"/>
        <cfvo type="max"/>
        <color rgb="FF638EC6"/>
      </dataBar>
      <extLst>
        <ext xmlns:x14="http://schemas.microsoft.com/office/spreadsheetml/2009/9/main" uri="{B025F937-C7B1-47D3-B67F-A62EFF666E3E}">
          <x14:id>{954F13E1-CBDB-4307-ADCC-ABA0C14B6F7A}</x14:id>
        </ext>
      </extLst>
    </cfRule>
  </conditionalFormatting>
  <conditionalFormatting sqref="AE24:AJ24 AE26:AK26 AE28:AK28 AE22:AK22">
    <cfRule type="dataBar" priority="58">
      <dataBar>
        <cfvo type="min"/>
        <cfvo type="max"/>
        <color rgb="FF638EC6"/>
      </dataBar>
      <extLst>
        <ext xmlns:x14="http://schemas.microsoft.com/office/spreadsheetml/2009/9/main" uri="{B025F937-C7B1-47D3-B67F-A62EFF666E3E}">
          <x14:id>{32FC0C64-F774-4E2E-907A-13728FCF5575}</x14:id>
        </ext>
      </extLst>
    </cfRule>
  </conditionalFormatting>
  <conditionalFormatting sqref="AE26:AE42">
    <cfRule type="dataBar" priority="57">
      <dataBar>
        <cfvo type="min"/>
        <cfvo type="max"/>
        <color rgb="FF638EC6"/>
      </dataBar>
      <extLst>
        <ext xmlns:x14="http://schemas.microsoft.com/office/spreadsheetml/2009/9/main" uri="{B025F937-C7B1-47D3-B67F-A62EFF666E3E}">
          <x14:id>{86C455E3-4D4D-4BAE-8D84-E3860498EF0D}</x14:id>
        </ext>
      </extLst>
    </cfRule>
  </conditionalFormatting>
  <conditionalFormatting sqref="AE24">
    <cfRule type="dataBar" priority="56">
      <dataBar>
        <cfvo type="min"/>
        <cfvo type="max"/>
        <color rgb="FF638EC6"/>
      </dataBar>
      <extLst>
        <ext xmlns:x14="http://schemas.microsoft.com/office/spreadsheetml/2009/9/main" uri="{B025F937-C7B1-47D3-B67F-A62EFF666E3E}">
          <x14:id>{1657E0B2-CD34-49F2-B4FC-2492B03461DB}</x14:id>
        </ext>
      </extLst>
    </cfRule>
  </conditionalFormatting>
  <conditionalFormatting sqref="AE24">
    <cfRule type="dataBar" priority="55">
      <dataBar>
        <cfvo type="min"/>
        <cfvo type="max"/>
        <color rgb="FF638EC6"/>
      </dataBar>
      <extLst>
        <ext xmlns:x14="http://schemas.microsoft.com/office/spreadsheetml/2009/9/main" uri="{B025F937-C7B1-47D3-B67F-A62EFF666E3E}">
          <x14:id>{004C0B69-9083-4BEC-9BF7-88A9359F9339}</x14:id>
        </ext>
      </extLst>
    </cfRule>
  </conditionalFormatting>
  <conditionalFormatting sqref="AE22:AE42">
    <cfRule type="dataBar" priority="54">
      <dataBar>
        <cfvo type="min"/>
        <cfvo type="max"/>
        <color rgb="FF638EC6"/>
      </dataBar>
      <extLst>
        <ext xmlns:x14="http://schemas.microsoft.com/office/spreadsheetml/2009/9/main" uri="{B025F937-C7B1-47D3-B67F-A62EFF666E3E}">
          <x14:id>{9E839675-1374-4E90-978F-7A3DE12A4C8B}</x14:id>
        </ext>
      </extLst>
    </cfRule>
  </conditionalFormatting>
  <conditionalFormatting sqref="AE21:AE42">
    <cfRule type="dataBar" priority="52">
      <dataBar>
        <cfvo type="min"/>
        <cfvo type="max"/>
        <color theme="0" tint="-0.34998626667073579"/>
      </dataBar>
      <extLst>
        <ext xmlns:x14="http://schemas.microsoft.com/office/spreadsheetml/2009/9/main" uri="{B025F937-C7B1-47D3-B67F-A62EFF666E3E}">
          <x14:id>{51F723F1-5280-4FF6-AD44-9AB847F0C830}</x14:id>
        </ext>
      </extLst>
    </cfRule>
    <cfRule type="dataBar" priority="53">
      <dataBar>
        <cfvo type="min"/>
        <cfvo type="max"/>
        <color rgb="FF638EC6"/>
      </dataBar>
      <extLst>
        <ext xmlns:x14="http://schemas.microsoft.com/office/spreadsheetml/2009/9/main" uri="{B025F937-C7B1-47D3-B67F-A62EFF666E3E}">
          <x14:id>{26F375B8-BAAE-4E66-9E3A-907B6BC8FEE5}</x14:id>
        </ext>
      </extLst>
    </cfRule>
  </conditionalFormatting>
  <conditionalFormatting sqref="AK24">
    <cfRule type="dataBar" priority="51">
      <dataBar>
        <cfvo type="min"/>
        <cfvo type="max"/>
        <color rgb="FF638EC6"/>
      </dataBar>
      <extLst>
        <ext xmlns:x14="http://schemas.microsoft.com/office/spreadsheetml/2009/9/main" uri="{B025F937-C7B1-47D3-B67F-A62EFF666E3E}">
          <x14:id>{894A8AE4-8E10-4107-B192-BD9BED2F46FD}</x14:id>
        </ext>
      </extLst>
    </cfRule>
  </conditionalFormatting>
  <conditionalFormatting sqref="AK24">
    <cfRule type="dataBar" priority="50">
      <dataBar>
        <cfvo type="min"/>
        <cfvo type="max"/>
        <color rgb="FF638EC6"/>
      </dataBar>
      <extLst>
        <ext xmlns:x14="http://schemas.microsoft.com/office/spreadsheetml/2009/9/main" uri="{B025F937-C7B1-47D3-B67F-A62EFF666E3E}">
          <x14:id>{482F89B4-7DDC-4247-81E2-24561E1CC15F}</x14:id>
        </ext>
      </extLst>
    </cfRule>
  </conditionalFormatting>
  <conditionalFormatting sqref="AK24">
    <cfRule type="dataBar" priority="49">
      <dataBar>
        <cfvo type="min"/>
        <cfvo type="max"/>
        <color rgb="FF638EC6"/>
      </dataBar>
      <extLst>
        <ext xmlns:x14="http://schemas.microsoft.com/office/spreadsheetml/2009/9/main" uri="{B025F937-C7B1-47D3-B67F-A62EFF666E3E}">
          <x14:id>{59997177-8D49-4109-B5BC-6A94544F0180}</x14:id>
        </ext>
      </extLst>
    </cfRule>
  </conditionalFormatting>
  <conditionalFormatting sqref="AK24">
    <cfRule type="dataBar" priority="48">
      <dataBar>
        <cfvo type="min"/>
        <cfvo type="max"/>
        <color rgb="FF638EC6"/>
      </dataBar>
      <extLst>
        <ext xmlns:x14="http://schemas.microsoft.com/office/spreadsheetml/2009/9/main" uri="{B025F937-C7B1-47D3-B67F-A62EFF666E3E}">
          <x14:id>{AE98691B-E69A-4252-A801-19CF3B02AD38}</x14:id>
        </ext>
      </extLst>
    </cfRule>
  </conditionalFormatting>
  <conditionalFormatting sqref="AK24">
    <cfRule type="dataBar" priority="47">
      <dataBar>
        <cfvo type="min"/>
        <cfvo type="max"/>
        <color rgb="FF638EC6"/>
      </dataBar>
      <extLst>
        <ext xmlns:x14="http://schemas.microsoft.com/office/spreadsheetml/2009/9/main" uri="{B025F937-C7B1-47D3-B67F-A62EFF666E3E}">
          <x14:id>{D6706D9E-B865-4430-B3F5-1C6E40013D84}</x14:id>
        </ext>
      </extLst>
    </cfRule>
  </conditionalFormatting>
  <conditionalFormatting sqref="AK24">
    <cfRule type="dataBar" priority="46">
      <dataBar>
        <cfvo type="min"/>
        <cfvo type="max"/>
        <color rgb="FF638EC6"/>
      </dataBar>
      <extLst>
        <ext xmlns:x14="http://schemas.microsoft.com/office/spreadsheetml/2009/9/main" uri="{B025F937-C7B1-47D3-B67F-A62EFF666E3E}">
          <x14:id>{A1886265-6C64-4563-95DD-C2125256253E}</x14:id>
        </ext>
      </extLst>
    </cfRule>
  </conditionalFormatting>
  <conditionalFormatting sqref="AN19 AP19">
    <cfRule type="colorScale" priority="44">
      <colorScale>
        <cfvo type="min"/>
        <cfvo type="percentile" val="50"/>
        <cfvo type="max"/>
        <color rgb="FFF8696B"/>
        <color rgb="FFFFEB84"/>
        <color rgb="FF63BE7B"/>
      </colorScale>
    </cfRule>
  </conditionalFormatting>
  <conditionalFormatting sqref="AL24">
    <cfRule type="iconSet" priority="36">
      <iconSet>
        <cfvo type="percent" val="0"/>
        <cfvo type="num" val="50"/>
        <cfvo type="num" val="75"/>
      </iconSet>
    </cfRule>
  </conditionalFormatting>
  <conditionalFormatting sqref="AL26">
    <cfRule type="iconSet" priority="35">
      <iconSet>
        <cfvo type="percent" val="0"/>
        <cfvo type="num" val="50"/>
        <cfvo type="num" val="75"/>
      </iconSet>
    </cfRule>
  </conditionalFormatting>
  <conditionalFormatting sqref="AL28">
    <cfRule type="iconSet" priority="34">
      <iconSet>
        <cfvo type="percent" val="0"/>
        <cfvo type="num" val="50"/>
        <cfvo type="num" val="75"/>
      </iconSet>
    </cfRule>
  </conditionalFormatting>
  <conditionalFormatting sqref="AL29">
    <cfRule type="iconSet" priority="33">
      <iconSet>
        <cfvo type="percent" val="0"/>
        <cfvo type="num" val="50"/>
        <cfvo type="num" val="75"/>
      </iconSet>
    </cfRule>
  </conditionalFormatting>
  <conditionalFormatting sqref="AL30">
    <cfRule type="iconSet" priority="32">
      <iconSet>
        <cfvo type="percent" val="0"/>
        <cfvo type="num" val="50"/>
        <cfvo type="num" val="75"/>
      </iconSet>
    </cfRule>
  </conditionalFormatting>
  <conditionalFormatting sqref="AL42 AL39:AL40 AL37 AL35 AL32:AL33">
    <cfRule type="iconSet" priority="31">
      <iconSet>
        <cfvo type="percent" val="0"/>
        <cfvo type="num" val="50"/>
        <cfvo type="num" val="75"/>
      </iconSet>
    </cfRule>
  </conditionalFormatting>
  <conditionalFormatting sqref="AL24 AL26 AL28:AL30 AL32:AL33 AL35 AL37 AL39:AL40 AL42">
    <cfRule type="iconSet" priority="4">
      <iconSet>
        <cfvo type="percent" val="0"/>
        <cfvo type="num" val="26"/>
        <cfvo type="num" val="75"/>
      </iconSet>
    </cfRule>
  </conditionalFormatting>
  <conditionalFormatting sqref="V15:V42 BYV30 AE22:AK22 AJ21:AK21 AE24:AK42 AO24:AO42 BYV36:BYV42 AM42 AM24:AM40 AQ24:AR42">
    <cfRule type="dataBar" priority="74">
      <dataBar>
        <cfvo type="min"/>
        <cfvo type="max"/>
        <color rgb="FFFFB628"/>
      </dataBar>
      <extLst>
        <ext xmlns:x14="http://schemas.microsoft.com/office/spreadsheetml/2009/9/main" uri="{B025F937-C7B1-47D3-B67F-A62EFF666E3E}">
          <x14:id>{E3C689E2-0777-4A61-9712-963674DCFDA5}</x14:id>
        </ext>
      </extLst>
    </cfRule>
  </conditionalFormatting>
  <conditionalFormatting sqref="AP11:AP12">
    <cfRule type="iconSet" priority="594">
      <iconSet>
        <cfvo type="percent" val="0"/>
        <cfvo type="num" val="0.25"/>
        <cfvo type="num" val="0.75"/>
      </iconSet>
    </cfRule>
    <cfRule type="iconSet" priority="595">
      <iconSet>
        <cfvo type="percent" val="0"/>
        <cfvo type="percent" val="25"/>
        <cfvo type="percent" val="75"/>
      </iconSet>
    </cfRule>
  </conditionalFormatting>
  <conditionalFormatting sqref="AO44">
    <cfRule type="dataBar" priority="1">
      <dataBar>
        <cfvo type="min"/>
        <cfvo type="max"/>
        <color rgb="FFFFB628"/>
      </dataBar>
      <extLst>
        <ext xmlns:x14="http://schemas.microsoft.com/office/spreadsheetml/2009/9/main" uri="{B025F937-C7B1-47D3-B67F-A62EFF666E3E}">
          <x14:id>{0EBB03BB-41E5-42C7-A040-DBAA5FCAB022}</x14:id>
        </ext>
      </extLst>
    </cfRule>
  </conditionalFormatting>
  <dataValidations count="12">
    <dataValidation type="list" allowBlank="1" showInputMessage="1" showErrorMessage="1" sqref="N24" xr:uid="{880C91BD-5E62-404B-80BD-2FDEB70D01DC}">
      <formula1>opgverkleining</formula1>
    </dataValidation>
    <dataValidation type="list" allowBlank="1" showInputMessage="1" showErrorMessage="1" sqref="N26" xr:uid="{3A64DA9C-A389-40F9-B94A-FFC8730B5095}">
      <formula1>levensduurverlenging</formula1>
    </dataValidation>
    <dataValidation type="list" allowBlank="1" showInputMessage="1" showErrorMessage="1" sqref="N28" xr:uid="{A80C06A1-7EF0-4386-9AC8-9DB9B8004FE0}">
      <formula1>restwaardehergebruik</formula1>
    </dataValidation>
    <dataValidation type="list" allowBlank="1" showInputMessage="1" showErrorMessage="1" sqref="N29" xr:uid="{88EDD316-8206-4F84-ADD9-8202CC174394}">
      <formula1>materialendatabank</formula1>
    </dataValidation>
    <dataValidation type="list" allowBlank="1" showInputMessage="1" showErrorMessage="1" sqref="N30" xr:uid="{1C72238F-60E8-4FEE-A063-3D95834DCB21}">
      <formula1>natuurlijkeprocessen</formula1>
    </dataValidation>
    <dataValidation type="list" allowBlank="1" showInputMessage="1" showErrorMessage="1" sqref="N32" xr:uid="{7D011224-8907-4F8A-B55E-2501F4BFF1A3}">
      <formula1>herbruikbaarheid</formula1>
    </dataValidation>
    <dataValidation type="list" allowBlank="1" showInputMessage="1" showErrorMessage="1" sqref="N33" xr:uid="{3C4C4378-FFCB-4C06-AD49-97956A9BA79B}">
      <formula1>materialenpaspoort</formula1>
    </dataValidation>
    <dataValidation type="list" allowBlank="1" showInputMessage="1" showErrorMessage="1" sqref="N35" xr:uid="{C425C075-6DD9-4428-86C0-E3DA3534FC1E}">
      <formula1>adaptatie</formula1>
    </dataValidation>
    <dataValidation type="list" allowBlank="1" showInputMessage="1" showErrorMessage="1" sqref="N37" xr:uid="{89649B2D-2CF4-42A7-ACA2-63EDE84B7EBD}">
      <formula1>beheeronderhoud</formula1>
    </dataValidation>
    <dataValidation type="list" allowBlank="1" showInputMessage="1" showErrorMessage="1" sqref="N39" xr:uid="{64513465-8343-4C53-9CDF-AC41E60A5509}">
      <formula1>mki</formula1>
    </dataValidation>
    <dataValidation type="list" allowBlank="1" showInputMessage="1" showErrorMessage="1" sqref="N40" xr:uid="{5A7240AF-958A-437A-8BF6-20C9B4E6144A}">
      <formula1>circulariteit</formula1>
    </dataValidation>
    <dataValidation type="list" allowBlank="1" showInputMessage="1" showErrorMessage="1" sqref="N42" xr:uid="{8839255D-FBE1-487B-8BCA-25889F70B9B9}">
      <formula1>co2berekening</formula1>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dataBar" id="{AA4E44E7-8054-406F-9F4B-B3382577FDCD}">
            <x14:dataBar minLength="0" maxLength="100" border="1" negativeBarBorderColorSameAsPositive="0">
              <x14:cfvo type="autoMin"/>
              <x14:cfvo type="autoMax"/>
              <x14:borderColor rgb="FF638EC6"/>
              <x14:negativeFillColor rgb="FFFF0000"/>
              <x14:negativeBorderColor rgb="FFFF0000"/>
              <x14:axisColor rgb="FF000000"/>
            </x14:dataBar>
          </x14:cfRule>
          <xm:sqref>AE24:AJ24 AE26:AK26</xm:sqref>
        </x14:conditionalFormatting>
        <x14:conditionalFormatting xmlns:xm="http://schemas.microsoft.com/office/excel/2006/main">
          <x14:cfRule type="dataBar" id="{954F13E1-CBDB-4307-ADCC-ABA0C14B6F7A}">
            <x14:dataBar minLength="0" maxLength="100" border="1" negativeBarBorderColorSameAsPositive="0">
              <x14:cfvo type="autoMin"/>
              <x14:cfvo type="autoMax"/>
              <x14:borderColor rgb="FF638EC6"/>
              <x14:negativeFillColor rgb="FFFF0000"/>
              <x14:negativeBorderColor rgb="FFFF0000"/>
              <x14:axisColor rgb="FF000000"/>
            </x14:dataBar>
          </x14:cfRule>
          <xm:sqref>AE22:AI22 AE28:AK30 AE32:AK33 AE35:AK35 AE37:AK37 AE39:AK40 AE42:AK42</xm:sqref>
        </x14:conditionalFormatting>
        <x14:conditionalFormatting xmlns:xm="http://schemas.microsoft.com/office/excel/2006/main">
          <x14:cfRule type="dataBar" id="{32FC0C64-F774-4E2E-907A-13728FCF5575}">
            <x14:dataBar minLength="0" maxLength="100" border="1" negativeBarBorderColorSameAsPositive="0">
              <x14:cfvo type="autoMin"/>
              <x14:cfvo type="autoMax"/>
              <x14:borderColor rgb="FF638EC6"/>
              <x14:negativeFillColor rgb="FFFF0000"/>
              <x14:negativeBorderColor rgb="FFFF0000"/>
              <x14:axisColor rgb="FF000000"/>
            </x14:dataBar>
          </x14:cfRule>
          <xm:sqref>AE24:AJ24 AE26:AK26 AE28:AK28 AE22:AK22</xm:sqref>
        </x14:conditionalFormatting>
        <x14:conditionalFormatting xmlns:xm="http://schemas.microsoft.com/office/excel/2006/main">
          <x14:cfRule type="dataBar" id="{86C455E3-4D4D-4BAE-8D84-E3860498EF0D}">
            <x14:dataBar minLength="0" maxLength="100" gradient="0">
              <x14:cfvo type="autoMin"/>
              <x14:cfvo type="autoMax"/>
              <x14:negativeFillColor rgb="FFFF0000"/>
              <x14:axisColor rgb="FF000000"/>
            </x14:dataBar>
          </x14:cfRule>
          <xm:sqref>AE26:AE42</xm:sqref>
        </x14:conditionalFormatting>
        <x14:conditionalFormatting xmlns:xm="http://schemas.microsoft.com/office/excel/2006/main">
          <x14:cfRule type="dataBar" id="{1657E0B2-CD34-49F2-B4FC-2492B03461DB}">
            <x14:dataBar minLength="0" maxLength="100" gradient="0">
              <x14:cfvo type="autoMin"/>
              <x14:cfvo type="autoMax"/>
              <x14:negativeFillColor rgb="FFFF0000"/>
              <x14:axisColor rgb="FF000000"/>
            </x14:dataBar>
          </x14:cfRule>
          <xm:sqref>AE24</xm:sqref>
        </x14:conditionalFormatting>
        <x14:conditionalFormatting xmlns:xm="http://schemas.microsoft.com/office/excel/2006/main">
          <x14:cfRule type="dataBar" id="{004C0B69-9083-4BEC-9BF7-88A9359F9339}">
            <x14:dataBar minLength="0" maxLength="100" gradient="0">
              <x14:cfvo type="autoMin"/>
              <x14:cfvo type="autoMax"/>
              <x14:negativeFillColor rgb="FFFF0000"/>
              <x14:axisColor rgb="FF000000"/>
            </x14:dataBar>
          </x14:cfRule>
          <xm:sqref>AE24</xm:sqref>
        </x14:conditionalFormatting>
        <x14:conditionalFormatting xmlns:xm="http://schemas.microsoft.com/office/excel/2006/main">
          <x14:cfRule type="dataBar" id="{9E839675-1374-4E90-978F-7A3DE12A4C8B}">
            <x14:dataBar minLength="0" maxLength="100" gradient="0">
              <x14:cfvo type="autoMin"/>
              <x14:cfvo type="autoMax"/>
              <x14:negativeFillColor rgb="FFFF0000"/>
              <x14:axisColor rgb="FF000000"/>
            </x14:dataBar>
          </x14:cfRule>
          <xm:sqref>AE22:AE42</xm:sqref>
        </x14:conditionalFormatting>
        <x14:conditionalFormatting xmlns:xm="http://schemas.microsoft.com/office/excel/2006/main">
          <x14:cfRule type="dataBar" id="{51F723F1-5280-4FF6-AD44-9AB847F0C830}">
            <x14:dataBar minLength="0" maxLength="100" gradient="0">
              <x14:cfvo type="autoMin"/>
              <x14:cfvo type="autoMax"/>
              <x14:negativeFillColor rgb="FFFF0000"/>
              <x14:axisColor rgb="FF000000"/>
            </x14:dataBar>
          </x14:cfRule>
          <x14:cfRule type="dataBar" id="{26F375B8-BAAE-4E66-9E3A-907B6BC8FEE5}">
            <x14:dataBar minLength="0" maxLength="100" gradient="0">
              <x14:cfvo type="autoMin"/>
              <x14:cfvo type="autoMax"/>
              <x14:negativeFillColor rgb="FFFF0000"/>
              <x14:axisColor rgb="FF000000"/>
            </x14:dataBar>
          </x14:cfRule>
          <xm:sqref>AE21:AE42</xm:sqref>
        </x14:conditionalFormatting>
        <x14:conditionalFormatting xmlns:xm="http://schemas.microsoft.com/office/excel/2006/main">
          <x14:cfRule type="dataBar" id="{894A8AE4-8E10-4107-B192-BD9BED2F46FD}">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482F89B4-7DDC-4247-81E2-24561E1CC15F}">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59997177-8D49-4109-B5BC-6A94544F0180}">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AE98691B-E69A-4252-A801-19CF3B02AD38}">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D6706D9E-B865-4430-B3F5-1C6E40013D84}">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A1886265-6C64-4563-95DD-C2125256253E}">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E3C689E2-0777-4A61-9712-963674DCFDA5}">
            <x14:dataBar minLength="0" maxLength="100" border="1" negativeBarBorderColorSameAsPositive="0">
              <x14:cfvo type="autoMin"/>
              <x14:cfvo type="autoMax"/>
              <x14:borderColor rgb="FFFFB628"/>
              <x14:negativeFillColor rgb="FFFF0000"/>
              <x14:negativeBorderColor rgb="FFFF0000"/>
              <x14:axisColor rgb="FF000000"/>
            </x14:dataBar>
          </x14:cfRule>
          <xm:sqref>V15:V42 BYV30 AE22:AK22 AJ21:AK21 AE24:AK42 AO24:AO42 BYV36:BYV42 AM42 AM24:AM40 AQ24:AR42</xm:sqref>
        </x14:conditionalFormatting>
        <x14:conditionalFormatting xmlns:xm="http://schemas.microsoft.com/office/excel/2006/main">
          <x14:cfRule type="dataBar" id="{0EBB03BB-41E5-42C7-A040-DBAA5FCAB022}">
            <x14:dataBar minLength="0" maxLength="100" border="1" negativeBarBorderColorSameAsPositive="0">
              <x14:cfvo type="autoMin"/>
              <x14:cfvo type="autoMax"/>
              <x14:borderColor rgb="FFFFB628"/>
              <x14:negativeFillColor rgb="FFFF0000"/>
              <x14:negativeBorderColor rgb="FFFF0000"/>
              <x14:axisColor rgb="FF000000"/>
            </x14:dataBar>
          </x14:cfRule>
          <xm:sqref>AO44</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FFB6F37C-1634-4F44-AEDF-BB3CF609A516}">
          <x14:formula1>
            <xm:f>'info weging'!$H$175:$H$181</xm:f>
          </x14:formula1>
          <xm:sqref>N8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199C3-7D3A-4BD9-A8AD-3705F6BDB8BB}">
  <sheetPr>
    <tabColor rgb="FFFF0000"/>
  </sheetPr>
  <dimension ref="B1:BC42"/>
  <sheetViews>
    <sheetView showGridLines="0" showRowColHeaders="0" zoomScale="55" zoomScaleNormal="55" workbookViewId="0">
      <selection activeCell="S41" sqref="B1:S41"/>
    </sheetView>
  </sheetViews>
  <sheetFormatPr defaultRowHeight="14.4" x14ac:dyDescent="0.3"/>
  <cols>
    <col min="3" max="3" width="8.88671875" style="107"/>
    <col min="4" max="4" width="45.5546875" customWidth="1"/>
    <col min="7" max="7" width="12.6640625" customWidth="1"/>
    <col min="14" max="14" width="11.109375" customWidth="1"/>
    <col min="15" max="15" width="8.88671875" style="109"/>
    <col min="18" max="18" width="0" hidden="1" customWidth="1"/>
    <col min="19" max="19" width="9.6640625" customWidth="1"/>
    <col min="20" max="33" width="0" hidden="1" customWidth="1"/>
  </cols>
  <sheetData>
    <row r="1" spans="2:55" ht="53.4" customHeight="1" x14ac:dyDescent="0.65">
      <c r="B1" s="119"/>
      <c r="C1" s="81"/>
      <c r="D1" s="81"/>
      <c r="E1" s="654"/>
      <c r="F1" s="654"/>
      <c r="G1" s="654"/>
      <c r="H1" s="655"/>
      <c r="I1" s="656"/>
      <c r="J1" s="656"/>
      <c r="K1" s="656"/>
      <c r="L1" s="656"/>
      <c r="M1" s="656"/>
      <c r="N1" s="656"/>
      <c r="O1" s="656"/>
      <c r="P1" s="656"/>
      <c r="Q1" s="657"/>
      <c r="R1" s="81"/>
      <c r="S1" s="121"/>
    </row>
    <row r="2" spans="2:55" ht="15" thickBot="1" x14ac:dyDescent="0.35">
      <c r="B2" s="30"/>
      <c r="C2" s="20"/>
      <c r="D2" s="20"/>
      <c r="E2" s="20"/>
      <c r="F2" s="20"/>
      <c r="G2" s="20"/>
      <c r="H2" s="20"/>
      <c r="I2" s="20"/>
      <c r="J2" s="20"/>
      <c r="K2" s="20"/>
      <c r="L2" s="20"/>
      <c r="M2" s="20"/>
      <c r="N2" s="20"/>
      <c r="O2" s="20"/>
      <c r="P2" s="20"/>
      <c r="Q2" s="20"/>
      <c r="R2" s="20"/>
      <c r="S2" s="123"/>
    </row>
    <row r="3" spans="2:55" ht="21" customHeight="1" thickBot="1" x14ac:dyDescent="0.5">
      <c r="B3" s="30"/>
      <c r="C3" s="641" t="str">
        <f>'invoer Basis'!$N$2</f>
        <v>De Circulaire Peiler</v>
      </c>
      <c r="D3" s="588"/>
      <c r="E3" s="588"/>
      <c r="F3" s="588"/>
      <c r="G3" s="588"/>
      <c r="H3" s="588"/>
      <c r="I3" s="588"/>
      <c r="J3" s="588"/>
      <c r="K3" s="588"/>
      <c r="L3" s="588"/>
      <c r="M3" s="588"/>
      <c r="N3" s="215" t="s">
        <v>127</v>
      </c>
      <c r="O3" s="215" t="s">
        <v>128</v>
      </c>
      <c r="P3" s="213"/>
      <c r="Q3" s="214"/>
      <c r="R3" s="196">
        <v>0</v>
      </c>
      <c r="S3" s="123"/>
    </row>
    <row r="4" spans="2:55" ht="21.6" customHeight="1" x14ac:dyDescent="0.35">
      <c r="B4" s="30"/>
      <c r="C4" s="642" t="str">
        <f>'invoer Basis'!$N$3</f>
        <v>Peilstok die circulariteit in projecten meetbaar maakt</v>
      </c>
      <c r="D4" s="589"/>
      <c r="E4" s="589"/>
      <c r="F4" s="589"/>
      <c r="G4" s="589"/>
      <c r="H4" s="589"/>
      <c r="I4" s="589"/>
      <c r="J4" s="589"/>
      <c r="K4" s="589"/>
      <c r="L4" s="589"/>
      <c r="M4" s="589"/>
      <c r="N4" s="711" t="s">
        <v>381</v>
      </c>
      <c r="O4" s="396" t="s">
        <v>130</v>
      </c>
      <c r="P4" s="397" t="s">
        <v>351</v>
      </c>
      <c r="Q4" s="398" t="s">
        <v>131</v>
      </c>
      <c r="R4" s="196">
        <v>100</v>
      </c>
      <c r="S4" s="123"/>
      <c r="T4" s="47"/>
    </row>
    <row r="5" spans="2:55" ht="21.6" customHeight="1" thickBot="1" x14ac:dyDescent="0.4">
      <c r="B5" s="30"/>
      <c r="C5" s="590" t="s">
        <v>132</v>
      </c>
      <c r="D5" s="591" t="str">
        <f>'invoer Basis'!AP6&amp; " - "&amp;'invoer Basis'!AP10</f>
        <v>V2.0/a - 18012022</v>
      </c>
      <c r="E5" s="591"/>
      <c r="F5" s="591"/>
      <c r="G5" s="591"/>
      <c r="H5" s="591"/>
      <c r="I5" s="591"/>
      <c r="J5" s="591"/>
      <c r="K5" s="591"/>
      <c r="L5" s="591"/>
      <c r="M5" s="591"/>
      <c r="N5" s="231" t="e">
        <f>Q40</f>
        <v>#VALUE!</v>
      </c>
      <c r="O5" s="271" t="str">
        <f>IF('invoer Basis'!AP68=0,"?",'invoer Basis'!AP67)</f>
        <v>?</v>
      </c>
      <c r="P5" s="272" t="str">
        <f>IF('invoer Basis'!AP72=0,"?",'invoer Basis'!AP71)</f>
        <v>?</v>
      </c>
      <c r="Q5" s="273" t="str">
        <f>IF('invoer Basis'!AP76=0,"?",'invoer Basis'!AP75)</f>
        <v>?</v>
      </c>
      <c r="R5" s="196"/>
      <c r="S5" s="123"/>
      <c r="T5" s="47"/>
    </row>
    <row r="6" spans="2:55" ht="21" x14ac:dyDescent="0.4">
      <c r="B6" s="30"/>
      <c r="C6" s="478"/>
      <c r="D6" s="20"/>
      <c r="E6" s="20"/>
      <c r="F6" s="20"/>
      <c r="G6" s="20"/>
      <c r="H6" s="20"/>
      <c r="I6" s="20"/>
      <c r="J6" s="20"/>
      <c r="K6" s="20"/>
      <c r="L6" s="20"/>
      <c r="M6" s="20"/>
      <c r="N6" s="20"/>
      <c r="O6" s="166" t="s">
        <v>133</v>
      </c>
      <c r="P6" s="20"/>
      <c r="Q6" s="20"/>
      <c r="R6" s="20"/>
      <c r="S6" s="123"/>
    </row>
    <row r="7" spans="2:55" x14ac:dyDescent="0.3">
      <c r="B7" s="30"/>
      <c r="C7" s="119"/>
      <c r="D7" s="81"/>
      <c r="E7" s="81"/>
      <c r="F7" s="81"/>
      <c r="G7" s="81"/>
      <c r="H7" s="81"/>
      <c r="I7" s="81"/>
      <c r="J7" s="81"/>
      <c r="K7" s="81"/>
      <c r="L7" s="81"/>
      <c r="M7" s="121"/>
      <c r="N7" s="119" t="s">
        <v>29</v>
      </c>
      <c r="O7" s="120"/>
      <c r="P7" s="81"/>
      <c r="Q7" s="121"/>
      <c r="R7" s="20"/>
      <c r="S7" s="123"/>
    </row>
    <row r="8" spans="2:55" x14ac:dyDescent="0.3">
      <c r="B8" s="30"/>
      <c r="C8" s="152" t="s">
        <v>21</v>
      </c>
      <c r="D8" s="20"/>
      <c r="E8" s="20"/>
      <c r="F8" s="20"/>
      <c r="G8" s="211" t="str">
        <f>'invoer Basis'!N4</f>
        <v>Projectnaam</v>
      </c>
      <c r="H8" s="154"/>
      <c r="I8" s="154"/>
      <c r="J8" s="154"/>
      <c r="K8" s="20"/>
      <c r="L8" s="20"/>
      <c r="M8" s="123"/>
      <c r="N8" s="122">
        <v>1</v>
      </c>
      <c r="O8" s="20" t="s">
        <v>50</v>
      </c>
      <c r="P8" s="20"/>
      <c r="Q8" s="123"/>
      <c r="R8" s="20"/>
      <c r="S8" s="123"/>
    </row>
    <row r="9" spans="2:55" x14ac:dyDescent="0.3">
      <c r="B9" s="30"/>
      <c r="C9" s="152" t="s">
        <v>324</v>
      </c>
      <c r="D9" s="20"/>
      <c r="E9" s="20"/>
      <c r="F9" s="20"/>
      <c r="G9" s="211" t="str">
        <f>'invoer Basis'!N6</f>
        <v>Plaatsnaam</v>
      </c>
      <c r="H9" s="154"/>
      <c r="I9" s="154"/>
      <c r="J9" s="154"/>
      <c r="K9" s="20"/>
      <c r="L9" s="20"/>
      <c r="M9" s="123"/>
      <c r="N9" s="122">
        <v>2</v>
      </c>
      <c r="O9" s="20" t="s">
        <v>22</v>
      </c>
      <c r="P9" s="20"/>
      <c r="Q9" s="123"/>
      <c r="R9" s="20"/>
      <c r="S9" s="123"/>
    </row>
    <row r="10" spans="2:55" x14ac:dyDescent="0.3">
      <c r="B10" s="30"/>
      <c r="C10" s="152" t="s">
        <v>325</v>
      </c>
      <c r="D10" s="20"/>
      <c r="E10" s="20"/>
      <c r="F10" s="20"/>
      <c r="G10" s="211" t="str">
        <f>'invoer Basis'!N7</f>
        <v>invoer Basis</v>
      </c>
      <c r="H10" s="154"/>
      <c r="I10" s="154"/>
      <c r="J10" s="154"/>
      <c r="K10" s="20"/>
      <c r="L10" s="20"/>
      <c r="M10" s="123"/>
      <c r="N10" s="122">
        <v>3</v>
      </c>
      <c r="O10" s="20" t="s">
        <v>134</v>
      </c>
      <c r="P10" s="20"/>
      <c r="Q10" s="123"/>
      <c r="R10" s="20"/>
      <c r="S10" s="123"/>
    </row>
    <row r="11" spans="2:55" x14ac:dyDescent="0.3">
      <c r="B11" s="30"/>
      <c r="C11" s="152" t="s">
        <v>135</v>
      </c>
      <c r="D11" s="20"/>
      <c r="E11" s="20"/>
      <c r="F11" s="20"/>
      <c r="G11" s="293">
        <f>IF(H11="initiatieffase",1)+IF(H11="verkenningsfase",2)+IF(H11="beheer/onderhoudsfase",6)+IF(H11="contractvormingsfase",4)+IF(H11="realisatiefase",5)+IF(H11="&lt;eigen weegfactoren&gt;",7)+IF(H11="planuitwerkingsfase",3)</f>
        <v>2</v>
      </c>
      <c r="H11" s="154" t="str">
        <f>'invoer Basis'!N8</f>
        <v>verkenningsfase</v>
      </c>
      <c r="I11" s="154"/>
      <c r="J11" s="154"/>
      <c r="K11" s="169"/>
      <c r="L11" s="167"/>
      <c r="M11" s="168"/>
      <c r="N11" s="122">
        <v>4</v>
      </c>
      <c r="O11" s="20" t="s">
        <v>136</v>
      </c>
      <c r="P11" s="20"/>
      <c r="Q11" s="123"/>
      <c r="R11" s="20"/>
      <c r="S11" s="123"/>
      <c r="T11" s="1"/>
      <c r="U11" s="1"/>
      <c r="V11" s="1"/>
      <c r="W11" s="1"/>
      <c r="X11" s="1"/>
      <c r="Y11" s="1"/>
      <c r="Z11" s="1"/>
      <c r="AA11" s="1"/>
      <c r="AB11" s="1"/>
      <c r="AC11" s="1"/>
      <c r="AD11" s="1"/>
      <c r="AE11" s="1"/>
      <c r="AF11" s="1"/>
      <c r="AG11" s="1"/>
      <c r="AH11" s="1"/>
      <c r="AI11" s="1"/>
      <c r="AJ11" s="1"/>
      <c r="AK11" s="1"/>
      <c r="AL11" s="1"/>
    </row>
    <row r="12" spans="2:55" x14ac:dyDescent="0.3">
      <c r="B12" s="30"/>
      <c r="C12" s="152"/>
      <c r="D12" s="20"/>
      <c r="E12" s="20"/>
      <c r="F12" s="20"/>
      <c r="G12" s="294"/>
      <c r="H12" s="20"/>
      <c r="I12" s="20"/>
      <c r="J12" s="20"/>
      <c r="K12" s="20"/>
      <c r="L12" s="20"/>
      <c r="M12" s="123"/>
      <c r="N12" s="122">
        <v>5</v>
      </c>
      <c r="O12" s="20" t="s">
        <v>137</v>
      </c>
      <c r="P12" s="20"/>
      <c r="Q12" s="123"/>
      <c r="R12" s="20"/>
      <c r="S12" s="123"/>
      <c r="T12" s="1"/>
      <c r="U12" s="1"/>
      <c r="V12" s="1"/>
      <c r="W12" s="1"/>
      <c r="X12" s="1"/>
      <c r="Y12" s="1"/>
      <c r="Z12" s="1"/>
      <c r="AA12" s="1"/>
      <c r="AB12" s="1"/>
      <c r="AC12" s="1"/>
      <c r="AD12" s="1"/>
      <c r="AE12" s="1"/>
      <c r="AF12" s="1"/>
      <c r="AG12" s="1"/>
      <c r="AH12" s="1"/>
      <c r="AI12" s="1"/>
      <c r="AJ12" s="1"/>
      <c r="AK12" s="1"/>
      <c r="AL12" s="1"/>
    </row>
    <row r="13" spans="2:55" x14ac:dyDescent="0.3">
      <c r="B13" s="30"/>
      <c r="C13" s="152" t="s">
        <v>23</v>
      </c>
      <c r="D13" s="20"/>
      <c r="E13" s="20"/>
      <c r="F13" s="20"/>
      <c r="G13" s="749" t="str">
        <f>'invoer Basis'!N10</f>
        <v>Bas Is</v>
      </c>
      <c r="H13" s="154"/>
      <c r="I13" s="154"/>
      <c r="J13" s="154"/>
      <c r="K13" s="20"/>
      <c r="L13" s="20"/>
      <c r="M13" s="123"/>
      <c r="N13" s="122">
        <v>6</v>
      </c>
      <c r="O13" s="20" t="s">
        <v>138</v>
      </c>
      <c r="P13" s="20"/>
      <c r="Q13" s="123"/>
      <c r="R13" s="20"/>
      <c r="S13" s="123"/>
      <c r="T13" s="1"/>
      <c r="U13" s="1"/>
      <c r="V13" s="1"/>
      <c r="W13" s="1"/>
      <c r="X13" s="1"/>
      <c r="Y13" s="1"/>
      <c r="Z13" s="1"/>
      <c r="AA13" s="1"/>
      <c r="AB13" s="1"/>
      <c r="AC13" s="1"/>
      <c r="AD13" s="1"/>
      <c r="AE13" s="1"/>
      <c r="AF13" s="1"/>
      <c r="AG13" s="1"/>
      <c r="AH13" s="1"/>
      <c r="AI13" s="1"/>
      <c r="AJ13" s="1"/>
      <c r="AK13" s="1"/>
      <c r="AL13" s="1"/>
    </row>
    <row r="14" spans="2:55" x14ac:dyDescent="0.3">
      <c r="B14" s="30"/>
      <c r="C14" s="153" t="s">
        <v>24</v>
      </c>
      <c r="D14" s="38"/>
      <c r="E14" s="38"/>
      <c r="F14" s="38"/>
      <c r="G14" s="751">
        <f>'invoer Basis'!N11</f>
        <v>43831</v>
      </c>
      <c r="H14" s="170"/>
      <c r="I14" s="170"/>
      <c r="J14" s="170"/>
      <c r="K14" s="38" t="str">
        <f>IF(G18=7,O14,"")</f>
        <v/>
      </c>
      <c r="L14" s="38"/>
      <c r="M14" s="125"/>
      <c r="N14" s="124">
        <v>7</v>
      </c>
      <c r="O14" s="38" t="s">
        <v>139</v>
      </c>
      <c r="P14" s="38"/>
      <c r="Q14" s="125"/>
      <c r="R14" s="20"/>
      <c r="S14" s="123"/>
      <c r="T14" s="1"/>
      <c r="U14" s="1"/>
      <c r="V14" s="1"/>
      <c r="W14" s="1"/>
      <c r="X14" s="1"/>
      <c r="Y14" s="1"/>
      <c r="Z14" s="1"/>
      <c r="AA14" s="1"/>
      <c r="AB14" s="1"/>
      <c r="AC14" s="1"/>
      <c r="AD14" s="1"/>
      <c r="AE14" s="1"/>
      <c r="AF14" s="1"/>
      <c r="AG14" s="1"/>
      <c r="AH14" s="1"/>
      <c r="AI14" s="1"/>
      <c r="AJ14" s="1"/>
      <c r="AK14" s="1"/>
      <c r="AL14" s="1"/>
    </row>
    <row r="15" spans="2:55" ht="384" customHeight="1" x14ac:dyDescent="0.3">
      <c r="B15" s="30"/>
      <c r="C15" s="166"/>
      <c r="D15" s="479" t="s">
        <v>322</v>
      </c>
      <c r="E15" s="20"/>
      <c r="F15" s="20"/>
      <c r="G15" s="20"/>
      <c r="H15" s="20"/>
      <c r="I15" s="20"/>
      <c r="J15" s="20"/>
      <c r="K15" s="20"/>
      <c r="L15" s="20"/>
      <c r="M15" s="20"/>
      <c r="N15" s="126"/>
      <c r="O15" s="20"/>
      <c r="P15" s="20"/>
      <c r="Q15" s="20"/>
      <c r="R15" s="20"/>
      <c r="S15" s="123"/>
      <c r="T15" s="1"/>
      <c r="U15" s="1"/>
      <c r="V15" s="1"/>
      <c r="W15" s="1"/>
      <c r="X15" s="1"/>
      <c r="Y15" s="1"/>
      <c r="Z15" s="1"/>
      <c r="AA15" s="1"/>
      <c r="AB15" s="1"/>
      <c r="AC15" s="1"/>
      <c r="AD15" s="1"/>
      <c r="AE15" s="1"/>
      <c r="AF15" s="1"/>
      <c r="AG15" s="1"/>
      <c r="AH15" s="1"/>
      <c r="AI15" s="1"/>
      <c r="AJ15" s="1"/>
      <c r="AK15" s="1"/>
      <c r="AL15" s="1"/>
    </row>
    <row r="16" spans="2:55" ht="12" customHeight="1" x14ac:dyDescent="0.3">
      <c r="B16" s="30"/>
      <c r="C16" s="224"/>
      <c r="D16" s="225"/>
      <c r="E16" s="81"/>
      <c r="F16" s="81"/>
      <c r="G16" s="81"/>
      <c r="H16" s="81"/>
      <c r="I16" s="81"/>
      <c r="J16" s="81"/>
      <c r="K16" s="81"/>
      <c r="L16" s="81"/>
      <c r="M16" s="81"/>
      <c r="N16" s="120"/>
      <c r="O16" s="81"/>
      <c r="P16" s="119"/>
      <c r="Q16" s="229" t="s">
        <v>129</v>
      </c>
      <c r="R16" s="20"/>
      <c r="S16" s="123"/>
      <c r="AI16" s="18"/>
      <c r="AJ16" s="18"/>
      <c r="AK16" s="18"/>
      <c r="AL16" s="18"/>
      <c r="AM16" s="18"/>
      <c r="AN16" s="18"/>
      <c r="AO16" s="18"/>
      <c r="AP16" s="18"/>
      <c r="AQ16" s="18"/>
      <c r="AR16" s="18"/>
      <c r="AS16" s="18"/>
      <c r="AT16" s="18"/>
      <c r="AU16" s="18"/>
      <c r="AV16" s="18"/>
      <c r="AW16" s="18"/>
      <c r="AX16" s="18"/>
      <c r="AY16" s="18"/>
      <c r="AZ16" s="18"/>
      <c r="BA16" s="18"/>
      <c r="BB16" s="18"/>
      <c r="BC16" s="18"/>
    </row>
    <row r="17" spans="2:55" ht="15.6" x14ac:dyDescent="0.3">
      <c r="B17" s="30"/>
      <c r="C17" s="226" t="str">
        <f>"Overzicht acties en maatregelen. Hoe invulling wordt gegeven aan de 8 ontwerpprincipes uit het MIRT. Alternatief: "&amp;'info vergelijk'!D47</f>
        <v>Overzicht acties en maatregelen. Hoe invulling wordt gegeven aan de 8 ontwerpprincipes uit het MIRT. Alternatief: invoer Basis NIET VOLLEDIG</v>
      </c>
      <c r="D17" s="227"/>
      <c r="E17" s="227"/>
      <c r="F17" s="227"/>
      <c r="G17" s="227"/>
      <c r="H17" s="227"/>
      <c r="I17" s="227"/>
      <c r="J17" s="227"/>
      <c r="K17" s="227"/>
      <c r="L17" s="227"/>
      <c r="M17" s="227"/>
      <c r="N17" s="227"/>
      <c r="O17" s="228"/>
      <c r="P17" s="230" t="s">
        <v>47</v>
      </c>
      <c r="Q17" s="395" t="s">
        <v>140</v>
      </c>
      <c r="R17" s="20"/>
      <c r="S17" s="123" t="s">
        <v>141</v>
      </c>
      <c r="T17" s="477" t="s">
        <v>142</v>
      </c>
      <c r="U17" s="221"/>
      <c r="V17" s="222"/>
      <c r="W17" s="222"/>
      <c r="X17" s="222"/>
      <c r="Y17" s="222"/>
      <c r="Z17" s="222"/>
      <c r="AA17" s="222"/>
      <c r="AB17" s="222"/>
      <c r="AC17" s="222"/>
      <c r="AD17" s="222"/>
      <c r="AE17" s="223"/>
      <c r="AI17" s="356" t="s">
        <v>369</v>
      </c>
      <c r="AJ17" s="18"/>
      <c r="AK17" s="18"/>
      <c r="AL17" s="18"/>
      <c r="AM17" s="18"/>
      <c r="AN17" s="18"/>
      <c r="AO17" s="18"/>
      <c r="AP17" s="18"/>
      <c r="AQ17" s="18"/>
      <c r="AR17" s="18"/>
      <c r="AS17" s="18"/>
      <c r="AT17" s="18"/>
      <c r="AU17" s="18"/>
      <c r="AV17" s="18"/>
      <c r="AW17" s="18"/>
      <c r="AX17" s="18"/>
      <c r="AY17" s="18"/>
      <c r="AZ17" s="18"/>
      <c r="BA17" s="18"/>
      <c r="BB17" s="18"/>
      <c r="BC17" s="18"/>
    </row>
    <row r="18" spans="2:55" ht="15.6" x14ac:dyDescent="0.3">
      <c r="B18" s="30"/>
      <c r="C18" s="129">
        <f>'invoer Basis'!K23</f>
        <v>1</v>
      </c>
      <c r="D18" s="136" t="str">
        <f>'invoer Basis'!L23</f>
        <v>Voorkómen: niet doen wat echt niet hoeft</v>
      </c>
      <c r="E18" s="136"/>
      <c r="F18" s="136"/>
      <c r="G18" s="137"/>
      <c r="H18" s="137"/>
      <c r="I18" s="137"/>
      <c r="J18" s="137"/>
      <c r="K18" s="137"/>
      <c r="L18" s="137"/>
      <c r="M18" s="137"/>
      <c r="N18" s="137"/>
      <c r="O18" s="245"/>
      <c r="P18" s="246">
        <f>'invoer Basis'!W23</f>
        <v>0.27</v>
      </c>
      <c r="Q18" s="158" t="e">
        <f>P18*P19*S19</f>
        <v>#VALUE!</v>
      </c>
      <c r="R18" s="20"/>
      <c r="S18" s="123"/>
      <c r="T18" s="216"/>
      <c r="U18" s="216"/>
      <c r="V18" s="19"/>
      <c r="W18" s="19"/>
      <c r="X18" s="19"/>
      <c r="Y18" s="19"/>
      <c r="Z18" s="19"/>
      <c r="AA18" s="19"/>
      <c r="AB18" s="19"/>
      <c r="AC18" s="19"/>
      <c r="AD18" s="19"/>
      <c r="AE18" s="217"/>
      <c r="AI18" s="18"/>
      <c r="AJ18" s="18"/>
      <c r="AK18" s="18"/>
      <c r="AL18" s="18"/>
      <c r="AM18" s="18"/>
      <c r="AN18" s="18"/>
      <c r="AO18" s="18"/>
      <c r="AP18" s="18"/>
      <c r="AQ18" s="18"/>
      <c r="AR18" s="18"/>
      <c r="AS18" s="18"/>
      <c r="AT18" s="18"/>
      <c r="AU18" s="18"/>
      <c r="AV18" s="18"/>
      <c r="AW18" s="18"/>
      <c r="AX18" s="18"/>
      <c r="AY18" s="18"/>
      <c r="AZ18" s="18"/>
      <c r="BA18" s="18"/>
      <c r="BB18" s="18"/>
      <c r="BC18" s="18"/>
    </row>
    <row r="19" spans="2:55" ht="15.6" x14ac:dyDescent="0.3">
      <c r="B19" s="30"/>
      <c r="C19" s="380" t="str">
        <f>'invoer Basis'!K24</f>
        <v>a</v>
      </c>
      <c r="D19" s="381">
        <f>'invoer Basis'!N24</f>
        <v>0</v>
      </c>
      <c r="E19" s="154"/>
      <c r="F19" s="154"/>
      <c r="G19" s="154"/>
      <c r="H19" s="154"/>
      <c r="I19" s="154"/>
      <c r="J19" s="154"/>
      <c r="K19" s="154"/>
      <c r="L19" s="154"/>
      <c r="M19" s="154"/>
      <c r="N19" s="154"/>
      <c r="O19" s="480"/>
      <c r="P19" s="247">
        <f>'invoer Basis'!W24</f>
        <v>1</v>
      </c>
      <c r="Q19" s="191"/>
      <c r="R19" s="20"/>
      <c r="S19" s="481" t="str">
        <f>'invoer Basis'!AL24</f>
        <v>----</v>
      </c>
      <c r="T19" s="216"/>
      <c r="U19" s="216"/>
      <c r="V19" s="19"/>
      <c r="W19" s="19"/>
      <c r="X19" s="19"/>
      <c r="Y19" s="19"/>
      <c r="Z19" s="19"/>
      <c r="AA19" s="19"/>
      <c r="AB19" s="19"/>
      <c r="AC19" s="19"/>
      <c r="AD19" s="19"/>
      <c r="AE19" s="217"/>
      <c r="AI19" s="18" t="str">
        <f>IF(S19&gt;50,"","Verdiepend onderzoek naar "&amp;'invoer Basis'!L24)</f>
        <v/>
      </c>
      <c r="AJ19" s="18"/>
      <c r="AK19" s="18"/>
      <c r="AL19" s="18"/>
      <c r="AM19" s="18"/>
      <c r="AN19" s="18"/>
      <c r="AO19" s="18"/>
      <c r="AP19" s="18"/>
      <c r="AQ19" s="18"/>
      <c r="AR19" s="18"/>
      <c r="AS19" s="18"/>
      <c r="AT19" s="18"/>
      <c r="AU19" s="18"/>
      <c r="AV19" s="18"/>
      <c r="AW19" s="18"/>
      <c r="AX19" s="18"/>
      <c r="AY19" s="18"/>
      <c r="AZ19" s="18"/>
      <c r="BA19" s="18"/>
      <c r="BB19" s="18"/>
      <c r="BC19" s="18"/>
    </row>
    <row r="20" spans="2:55" ht="15.6" x14ac:dyDescent="0.3">
      <c r="B20" s="30"/>
      <c r="C20" s="130">
        <f>'invoer Basis'!K25</f>
        <v>2</v>
      </c>
      <c r="D20" s="138" t="str">
        <f>'invoer Basis'!L25</f>
        <v>Verleng de levensduur van bestaande objecten of componenten</v>
      </c>
      <c r="E20" s="138"/>
      <c r="F20" s="138"/>
      <c r="G20" s="138"/>
      <c r="H20" s="138"/>
      <c r="I20" s="139"/>
      <c r="J20" s="139"/>
      <c r="K20" s="139"/>
      <c r="L20" s="139"/>
      <c r="M20" s="139"/>
      <c r="N20" s="139"/>
      <c r="O20" s="251"/>
      <c r="P20" s="246">
        <f>'invoer Basis'!W25</f>
        <v>7.0000000000000007E-2</v>
      </c>
      <c r="Q20" s="158" t="e">
        <f>S21*P21*P20</f>
        <v>#VALUE!</v>
      </c>
      <c r="R20" s="20"/>
      <c r="S20" s="482"/>
      <c r="T20" s="216"/>
      <c r="U20" s="216"/>
      <c r="V20" s="19"/>
      <c r="W20" s="19"/>
      <c r="X20" s="19"/>
      <c r="Y20" s="19"/>
      <c r="Z20" s="19"/>
      <c r="AA20" s="19"/>
      <c r="AB20" s="19"/>
      <c r="AC20" s="19"/>
      <c r="AD20" s="19"/>
      <c r="AE20" s="217"/>
      <c r="AI20" s="18"/>
      <c r="AJ20" s="18"/>
      <c r="AK20" s="18"/>
      <c r="AL20" s="18"/>
      <c r="AM20" s="18"/>
      <c r="AN20" s="18"/>
      <c r="AO20" s="18"/>
      <c r="AP20" s="18"/>
      <c r="AQ20" s="18"/>
      <c r="AR20" s="18"/>
      <c r="AS20" s="18"/>
      <c r="AT20" s="18"/>
      <c r="AU20" s="18"/>
      <c r="AV20" s="18"/>
      <c r="AW20" s="18"/>
      <c r="AX20" s="18"/>
      <c r="AY20" s="18"/>
      <c r="AZ20" s="18"/>
      <c r="BA20" s="18"/>
      <c r="BB20" s="18"/>
      <c r="BC20" s="18"/>
    </row>
    <row r="21" spans="2:55" ht="15.6" x14ac:dyDescent="0.3">
      <c r="B21" s="30"/>
      <c r="C21" s="380" t="str">
        <f>'invoer Basis'!K26</f>
        <v>a</v>
      </c>
      <c r="D21" s="382">
        <f>'invoer Basis'!N26</f>
        <v>0</v>
      </c>
      <c r="E21" s="383"/>
      <c r="F21" s="383"/>
      <c r="G21" s="383"/>
      <c r="H21" s="383"/>
      <c r="I21" s="383"/>
      <c r="J21" s="383"/>
      <c r="K21" s="383"/>
      <c r="L21" s="383"/>
      <c r="M21" s="383"/>
      <c r="N21" s="383"/>
      <c r="O21" s="483"/>
      <c r="P21" s="247">
        <f>'invoer Basis'!W26</f>
        <v>1</v>
      </c>
      <c r="Q21" s="191"/>
      <c r="R21" s="20"/>
      <c r="S21" s="481" t="str">
        <f>'invoer Basis'!AL26</f>
        <v>----</v>
      </c>
      <c r="T21" s="216"/>
      <c r="U21" s="216"/>
      <c r="V21" s="19"/>
      <c r="W21" s="19"/>
      <c r="X21" s="19"/>
      <c r="Y21" s="19"/>
      <c r="Z21" s="19"/>
      <c r="AA21" s="19"/>
      <c r="AB21" s="19"/>
      <c r="AC21" s="19"/>
      <c r="AD21" s="19"/>
      <c r="AE21" s="217"/>
      <c r="AI21" s="18" t="str">
        <f>IF(S21&gt;50,"","Verdiepend onderzoek naar "&amp;'invoer Basis'!L26)</f>
        <v/>
      </c>
      <c r="AJ21" s="18"/>
      <c r="AK21" s="18"/>
      <c r="AL21" s="18"/>
      <c r="AM21" s="18"/>
      <c r="AN21" s="18"/>
      <c r="AO21" s="18"/>
      <c r="AP21" s="18"/>
      <c r="AQ21" s="18"/>
      <c r="AR21" s="18"/>
      <c r="AS21" s="18"/>
      <c r="AT21" s="18"/>
      <c r="AU21" s="18"/>
      <c r="AV21" s="18"/>
      <c r="AW21" s="18"/>
      <c r="AX21" s="18"/>
      <c r="AY21" s="18"/>
      <c r="AZ21" s="18"/>
      <c r="BA21" s="18"/>
      <c r="BB21" s="18"/>
      <c r="BC21" s="18"/>
    </row>
    <row r="22" spans="2:55" ht="15.6" x14ac:dyDescent="0.3">
      <c r="B22" s="30"/>
      <c r="C22" s="131">
        <f>'invoer Basis'!K27</f>
        <v>3</v>
      </c>
      <c r="D22" s="140" t="str">
        <f>'invoer Basis'!L27</f>
        <v>Duurzaam gebruik van bestaande objecten, materialen, grondstoffen en natuurlijke processen</v>
      </c>
      <c r="E22" s="140"/>
      <c r="F22" s="140"/>
      <c r="G22" s="140"/>
      <c r="H22" s="140"/>
      <c r="I22" s="140"/>
      <c r="J22" s="140"/>
      <c r="K22" s="140"/>
      <c r="L22" s="141"/>
      <c r="M22" s="141"/>
      <c r="N22" s="141"/>
      <c r="O22" s="252"/>
      <c r="P22" s="246">
        <f>'invoer Basis'!W27</f>
        <v>7.0000000000000007E-2</v>
      </c>
      <c r="Q22" s="158" t="e">
        <f>(S23*P23+S24*P24+S25*P25)*P22</f>
        <v>#VALUE!</v>
      </c>
      <c r="R22" s="20"/>
      <c r="S22" s="482"/>
      <c r="T22" s="216"/>
      <c r="U22" s="216"/>
      <c r="V22" s="19"/>
      <c r="W22" s="19"/>
      <c r="X22" s="19"/>
      <c r="Y22" s="19"/>
      <c r="Z22" s="19"/>
      <c r="AA22" s="19"/>
      <c r="AB22" s="19"/>
      <c r="AC22" s="19"/>
      <c r="AD22" s="19"/>
      <c r="AE22" s="217"/>
      <c r="AI22" s="18"/>
      <c r="AJ22" s="18"/>
      <c r="AK22" s="18"/>
      <c r="AL22" s="18"/>
      <c r="AM22" s="18"/>
      <c r="AN22" s="18"/>
      <c r="AO22" s="18"/>
      <c r="AP22" s="18"/>
      <c r="AQ22" s="18"/>
      <c r="AR22" s="18"/>
      <c r="AS22" s="18"/>
      <c r="AT22" s="18"/>
      <c r="AU22" s="18"/>
      <c r="AV22" s="18"/>
      <c r="AW22" s="18"/>
      <c r="AX22" s="18"/>
      <c r="AY22" s="18"/>
      <c r="AZ22" s="18"/>
      <c r="BA22" s="18"/>
      <c r="BB22" s="18"/>
      <c r="BC22" s="18"/>
    </row>
    <row r="23" spans="2:55" ht="15.6" x14ac:dyDescent="0.3">
      <c r="B23" s="30"/>
      <c r="C23" s="380" t="str">
        <f>'invoer Basis'!K28</f>
        <v>a</v>
      </c>
      <c r="D23" s="384">
        <f>'invoer Basis'!N28</f>
        <v>0</v>
      </c>
      <c r="E23" s="385"/>
      <c r="F23" s="385"/>
      <c r="G23" s="385"/>
      <c r="H23" s="385"/>
      <c r="I23" s="385"/>
      <c r="J23" s="385"/>
      <c r="K23" s="385"/>
      <c r="L23" s="385"/>
      <c r="M23" s="385"/>
      <c r="N23" s="385"/>
      <c r="O23" s="484"/>
      <c r="P23" s="247">
        <f>'invoer Basis'!W28</f>
        <v>0.4</v>
      </c>
      <c r="Q23" s="191"/>
      <c r="R23" s="20"/>
      <c r="S23" s="481" t="str">
        <f>'invoer Basis'!AL28</f>
        <v>----</v>
      </c>
      <c r="T23" s="216"/>
      <c r="U23" s="216"/>
      <c r="V23" s="19"/>
      <c r="W23" s="19"/>
      <c r="X23" s="19"/>
      <c r="Y23" s="19"/>
      <c r="Z23" s="19"/>
      <c r="AA23" s="19"/>
      <c r="AB23" s="19"/>
      <c r="AC23" s="19"/>
      <c r="AD23" s="19"/>
      <c r="AE23" s="217"/>
      <c r="AI23" s="18" t="str">
        <f>IF(S23&gt;50,"","Verdiepend onderzoek naar "&amp;'invoer Basis'!L28)</f>
        <v/>
      </c>
      <c r="AJ23" s="18"/>
      <c r="AK23" s="18"/>
      <c r="AL23" s="18"/>
      <c r="AM23" s="18"/>
      <c r="AN23" s="18"/>
      <c r="AO23" s="18"/>
      <c r="AP23" s="18"/>
      <c r="AQ23" s="18"/>
      <c r="AR23" s="18"/>
      <c r="AS23" s="18"/>
      <c r="AT23" s="18"/>
      <c r="AU23" s="18"/>
      <c r="AV23" s="18"/>
      <c r="AW23" s="18"/>
      <c r="AX23" s="18"/>
      <c r="AY23" s="18"/>
      <c r="AZ23" s="18"/>
      <c r="BA23" s="18"/>
      <c r="BB23" s="18"/>
      <c r="BC23" s="18"/>
    </row>
    <row r="24" spans="2:55" ht="15.6" x14ac:dyDescent="0.3">
      <c r="B24" s="30"/>
      <c r="C24" s="380" t="str">
        <f>'invoer Basis'!K29</f>
        <v>b</v>
      </c>
      <c r="D24" s="384">
        <f>'invoer Basis'!N29</f>
        <v>0</v>
      </c>
      <c r="E24" s="385"/>
      <c r="F24" s="385"/>
      <c r="G24" s="385"/>
      <c r="H24" s="385"/>
      <c r="I24" s="385"/>
      <c r="J24" s="385"/>
      <c r="K24" s="385"/>
      <c r="L24" s="385"/>
      <c r="M24" s="385"/>
      <c r="N24" s="385"/>
      <c r="O24" s="484"/>
      <c r="P24" s="247">
        <f>'invoer Basis'!W29</f>
        <v>0.4</v>
      </c>
      <c r="Q24" s="191"/>
      <c r="R24" s="20"/>
      <c r="S24" s="481" t="str">
        <f>'invoer Basis'!AL29</f>
        <v>----</v>
      </c>
      <c r="T24" s="216"/>
      <c r="U24" s="216"/>
      <c r="V24" s="19"/>
      <c r="W24" s="19"/>
      <c r="X24" s="19"/>
      <c r="Y24" s="19"/>
      <c r="Z24" s="19"/>
      <c r="AA24" s="19"/>
      <c r="AB24" s="19"/>
      <c r="AC24" s="19"/>
      <c r="AD24" s="19"/>
      <c r="AE24" s="217"/>
      <c r="AI24" s="18" t="str">
        <f>IF(S24&gt;50,"","Verdiepend onderzoek naar "&amp;'invoer Basis'!L29)</f>
        <v/>
      </c>
      <c r="AJ24" s="18"/>
      <c r="AK24" s="18"/>
      <c r="AL24" s="18"/>
      <c r="AM24" s="18"/>
      <c r="AN24" s="18"/>
      <c r="AO24" s="18"/>
      <c r="AP24" s="18"/>
      <c r="AQ24" s="18"/>
      <c r="AR24" s="18"/>
      <c r="AS24" s="18"/>
      <c r="AT24" s="18"/>
      <c r="AU24" s="18"/>
      <c r="AV24" s="18"/>
      <c r="AW24" s="18"/>
      <c r="AX24" s="18"/>
      <c r="AY24" s="18"/>
      <c r="AZ24" s="18"/>
      <c r="BA24" s="18"/>
      <c r="BB24" s="18"/>
      <c r="BC24" s="18"/>
    </row>
    <row r="25" spans="2:55" ht="15.6" x14ac:dyDescent="0.3">
      <c r="B25" s="30"/>
      <c r="C25" s="380" t="str">
        <f>'invoer Basis'!K30</f>
        <v>c</v>
      </c>
      <c r="D25" s="384">
        <f>'invoer Basis'!N30</f>
        <v>0</v>
      </c>
      <c r="E25" s="385"/>
      <c r="F25" s="385"/>
      <c r="G25" s="385"/>
      <c r="H25" s="385"/>
      <c r="I25" s="385"/>
      <c r="J25" s="385"/>
      <c r="K25" s="385"/>
      <c r="L25" s="385"/>
      <c r="M25" s="385"/>
      <c r="N25" s="385"/>
      <c r="O25" s="484"/>
      <c r="P25" s="247">
        <f>'invoer Basis'!W30</f>
        <v>0.2</v>
      </c>
      <c r="Q25" s="191"/>
      <c r="R25" s="20"/>
      <c r="S25" s="481" t="str">
        <f>'invoer Basis'!AL30</f>
        <v>----</v>
      </c>
      <c r="T25" s="216"/>
      <c r="U25" s="216"/>
      <c r="V25" s="19"/>
      <c r="W25" s="19"/>
      <c r="X25" s="19"/>
      <c r="Y25" s="19"/>
      <c r="Z25" s="19"/>
      <c r="AA25" s="19"/>
      <c r="AB25" s="19"/>
      <c r="AC25" s="19"/>
      <c r="AD25" s="19"/>
      <c r="AE25" s="217"/>
      <c r="AI25" s="18" t="str">
        <f>IF(S25&gt;50,"","Verdiepend onderzoek naar "&amp;'invoer Basis'!L30)</f>
        <v/>
      </c>
      <c r="AJ25" s="18"/>
      <c r="AK25" s="18"/>
      <c r="AL25" s="18"/>
      <c r="AM25" s="18"/>
      <c r="AN25" s="18"/>
      <c r="AO25" s="18"/>
      <c r="AP25" s="18"/>
      <c r="AQ25" s="18"/>
      <c r="AR25" s="18"/>
      <c r="AS25" s="18"/>
      <c r="AT25" s="18"/>
      <c r="AU25" s="18"/>
      <c r="AV25" s="18"/>
      <c r="AW25" s="18"/>
      <c r="AX25" s="18"/>
      <c r="AY25" s="18"/>
      <c r="AZ25" s="18"/>
      <c r="BA25" s="18"/>
      <c r="BB25" s="18"/>
      <c r="BC25" s="18"/>
    </row>
    <row r="26" spans="2:55" ht="15.6" x14ac:dyDescent="0.3">
      <c r="B26" s="30"/>
      <c r="C26" s="162">
        <f>'invoer Basis'!K31</f>
        <v>4</v>
      </c>
      <c r="D26" s="163" t="str">
        <f>'invoer Basis'!L31</f>
        <v>Ontwerp voor meerdere levenscycli</v>
      </c>
      <c r="E26" s="142"/>
      <c r="F26" s="142"/>
      <c r="G26" s="143"/>
      <c r="H26" s="143"/>
      <c r="I26" s="143"/>
      <c r="J26" s="143"/>
      <c r="K26" s="143"/>
      <c r="L26" s="143"/>
      <c r="M26" s="143"/>
      <c r="N26" s="143"/>
      <c r="O26" s="253"/>
      <c r="P26" s="246">
        <f>'invoer Basis'!W31</f>
        <v>7.0000000000000007E-2</v>
      </c>
      <c r="Q26" s="158" t="e">
        <f>(S27*P27+S28*P28)*P26</f>
        <v>#VALUE!</v>
      </c>
      <c r="R26" s="20"/>
      <c r="S26" s="482"/>
      <c r="T26" s="216"/>
      <c r="U26" s="216"/>
      <c r="V26" s="19"/>
      <c r="W26" s="19"/>
      <c r="X26" s="19"/>
      <c r="Y26" s="19"/>
      <c r="Z26" s="19"/>
      <c r="AA26" s="19"/>
      <c r="AB26" s="19"/>
      <c r="AC26" s="19"/>
      <c r="AD26" s="19"/>
      <c r="AE26" s="217"/>
      <c r="AI26" s="18"/>
      <c r="AJ26" s="18"/>
      <c r="AK26" s="18"/>
      <c r="AL26" s="18"/>
      <c r="AM26" s="18"/>
      <c r="AN26" s="18"/>
      <c r="AO26" s="18"/>
      <c r="AP26" s="18"/>
      <c r="AQ26" s="18"/>
      <c r="AR26" s="18"/>
      <c r="AS26" s="18"/>
      <c r="AT26" s="18"/>
      <c r="AU26" s="18"/>
      <c r="AV26" s="18"/>
      <c r="AW26" s="18"/>
      <c r="AX26" s="18"/>
      <c r="AY26" s="18"/>
      <c r="AZ26" s="18"/>
      <c r="BA26" s="18"/>
      <c r="BB26" s="18"/>
      <c r="BC26" s="18"/>
    </row>
    <row r="27" spans="2:55" ht="15.6" x14ac:dyDescent="0.3">
      <c r="B27" s="30"/>
      <c r="C27" s="380" t="str">
        <f>'invoer Basis'!K32</f>
        <v>a</v>
      </c>
      <c r="D27" s="386">
        <f>'invoer Basis'!N32</f>
        <v>0</v>
      </c>
      <c r="E27" s="387"/>
      <c r="F27" s="387"/>
      <c r="G27" s="387"/>
      <c r="H27" s="387"/>
      <c r="I27" s="387"/>
      <c r="J27" s="387"/>
      <c r="K27" s="387"/>
      <c r="L27" s="387"/>
      <c r="M27" s="387"/>
      <c r="N27" s="387"/>
      <c r="O27" s="485"/>
      <c r="P27" s="247">
        <f>'invoer Basis'!W32</f>
        <v>0.9</v>
      </c>
      <c r="Q27" s="191"/>
      <c r="R27" s="20"/>
      <c r="S27" s="481" t="str">
        <f>'invoer Basis'!AL32</f>
        <v>----</v>
      </c>
      <c r="T27" s="216"/>
      <c r="U27" s="216"/>
      <c r="V27" s="19"/>
      <c r="W27" s="19"/>
      <c r="X27" s="19"/>
      <c r="Y27" s="19"/>
      <c r="Z27" s="19"/>
      <c r="AA27" s="19"/>
      <c r="AB27" s="19"/>
      <c r="AC27" s="19"/>
      <c r="AD27" s="19"/>
      <c r="AE27" s="217"/>
      <c r="AI27" s="18" t="str">
        <f>IF(S27&gt;50,"","Verdiepend onderzoek naar "&amp;'invoer Basis'!L32)</f>
        <v/>
      </c>
      <c r="AJ27" s="18"/>
      <c r="AK27" s="18"/>
      <c r="AL27" s="18"/>
      <c r="AM27" s="18"/>
      <c r="AN27" s="18"/>
      <c r="AO27" s="18"/>
      <c r="AP27" s="18"/>
      <c r="AQ27" s="18"/>
      <c r="AR27" s="18"/>
      <c r="AS27" s="18"/>
      <c r="AT27" s="18"/>
      <c r="AU27" s="18"/>
      <c r="AV27" s="18"/>
      <c r="AW27" s="18"/>
      <c r="AX27" s="18"/>
      <c r="AY27" s="18"/>
      <c r="AZ27" s="18"/>
      <c r="BA27" s="18"/>
      <c r="BB27" s="18"/>
      <c r="BC27" s="18"/>
    </row>
    <row r="28" spans="2:55" ht="15.6" x14ac:dyDescent="0.3">
      <c r="B28" s="30"/>
      <c r="C28" s="380" t="str">
        <f>'invoer Basis'!K33</f>
        <v>b</v>
      </c>
      <c r="D28" s="386">
        <f>'invoer Basis'!N33</f>
        <v>0</v>
      </c>
      <c r="E28" s="387"/>
      <c r="F28" s="387"/>
      <c r="G28" s="387"/>
      <c r="H28" s="387"/>
      <c r="I28" s="387"/>
      <c r="J28" s="387"/>
      <c r="K28" s="387"/>
      <c r="L28" s="387"/>
      <c r="M28" s="387"/>
      <c r="N28" s="387"/>
      <c r="O28" s="485"/>
      <c r="P28" s="247">
        <f>'invoer Basis'!W33</f>
        <v>0.1</v>
      </c>
      <c r="Q28" s="191"/>
      <c r="R28" s="20"/>
      <c r="S28" s="481" t="str">
        <f>'invoer Basis'!AL33</f>
        <v>----</v>
      </c>
      <c r="T28" s="216"/>
      <c r="U28" s="216"/>
      <c r="V28" s="19"/>
      <c r="W28" s="19"/>
      <c r="X28" s="19"/>
      <c r="Y28" s="19"/>
      <c r="Z28" s="19"/>
      <c r="AA28" s="19"/>
      <c r="AB28" s="19"/>
      <c r="AC28" s="19"/>
      <c r="AD28" s="19"/>
      <c r="AE28" s="217"/>
      <c r="AI28" s="18" t="str">
        <f>IF(S28&gt;50,"","Verdiepend onderzoek naar "&amp;'invoer Basis'!L33)</f>
        <v/>
      </c>
      <c r="AJ28" s="18"/>
      <c r="AK28" s="18"/>
      <c r="AL28" s="18"/>
      <c r="AM28" s="18"/>
      <c r="AN28" s="18"/>
      <c r="AO28" s="18"/>
      <c r="AP28" s="18"/>
      <c r="AQ28" s="18"/>
      <c r="AR28" s="18"/>
      <c r="AS28" s="18"/>
      <c r="AT28" s="18"/>
      <c r="AU28" s="18"/>
      <c r="AV28" s="18"/>
      <c r="AW28" s="18"/>
      <c r="AX28" s="18"/>
      <c r="AY28" s="18"/>
      <c r="AZ28" s="18"/>
      <c r="BA28" s="18"/>
      <c r="BB28" s="18"/>
      <c r="BC28" s="18"/>
    </row>
    <row r="29" spans="2:55" ht="15.6" x14ac:dyDescent="0.3">
      <c r="B29" s="30"/>
      <c r="C29" s="132">
        <f>'invoer Basis'!K34</f>
        <v>5</v>
      </c>
      <c r="D29" s="144" t="str">
        <f>'invoer Basis'!L34</f>
        <v>Ontwerp toekomstbestendig</v>
      </c>
      <c r="E29" s="144"/>
      <c r="F29" s="145"/>
      <c r="G29" s="145"/>
      <c r="H29" s="145"/>
      <c r="I29" s="145"/>
      <c r="J29" s="145"/>
      <c r="K29" s="145"/>
      <c r="L29" s="145"/>
      <c r="M29" s="145"/>
      <c r="N29" s="145"/>
      <c r="O29" s="254"/>
      <c r="P29" s="246">
        <f>'invoer Basis'!W34</f>
        <v>0.1</v>
      </c>
      <c r="Q29" s="158" t="e">
        <f>P29*P30*S30</f>
        <v>#VALUE!</v>
      </c>
      <c r="R29" s="20"/>
      <c r="S29" s="482"/>
      <c r="T29" s="216"/>
      <c r="U29" s="216"/>
      <c r="V29" s="19"/>
      <c r="W29" s="19"/>
      <c r="X29" s="19"/>
      <c r="Y29" s="19"/>
      <c r="Z29" s="19"/>
      <c r="AA29" s="19"/>
      <c r="AB29" s="19"/>
      <c r="AC29" s="19"/>
      <c r="AD29" s="19"/>
      <c r="AE29" s="217"/>
      <c r="AI29" s="18"/>
      <c r="AJ29" s="18"/>
      <c r="AK29" s="18"/>
      <c r="AL29" s="18"/>
      <c r="AM29" s="18"/>
      <c r="AN29" s="18"/>
      <c r="AO29" s="18"/>
      <c r="AP29" s="18"/>
      <c r="AQ29" s="18"/>
      <c r="AR29" s="18"/>
      <c r="AS29" s="18"/>
      <c r="AT29" s="18"/>
      <c r="AU29" s="18"/>
      <c r="AV29" s="18"/>
      <c r="AW29" s="18"/>
      <c r="AX29" s="18"/>
      <c r="AY29" s="18"/>
      <c r="AZ29" s="18"/>
      <c r="BA29" s="18"/>
      <c r="BB29" s="18"/>
      <c r="BC29" s="18"/>
    </row>
    <row r="30" spans="2:55" ht="15.6" x14ac:dyDescent="0.3">
      <c r="B30" s="30"/>
      <c r="C30" s="380" t="str">
        <f>'invoer Basis'!K35</f>
        <v>a</v>
      </c>
      <c r="D30" s="388">
        <f>'invoer Basis'!N35</f>
        <v>0</v>
      </c>
      <c r="E30" s="19"/>
      <c r="F30" s="19"/>
      <c r="G30" s="19"/>
      <c r="H30" s="19"/>
      <c r="I30" s="19"/>
      <c r="J30" s="19"/>
      <c r="K30" s="19"/>
      <c r="L30" s="19"/>
      <c r="M30" s="19"/>
      <c r="N30" s="19"/>
      <c r="O30" s="486"/>
      <c r="P30" s="247">
        <f>'invoer Basis'!W35</f>
        <v>1</v>
      </c>
      <c r="Q30" s="191"/>
      <c r="R30" s="20"/>
      <c r="S30" s="481" t="str">
        <f>'invoer Basis'!AL35</f>
        <v>----</v>
      </c>
      <c r="T30" s="216"/>
      <c r="U30" s="216"/>
      <c r="V30" s="19"/>
      <c r="W30" s="19"/>
      <c r="X30" s="19"/>
      <c r="Y30" s="19"/>
      <c r="Z30" s="19"/>
      <c r="AA30" s="19"/>
      <c r="AB30" s="19"/>
      <c r="AC30" s="19"/>
      <c r="AD30" s="19"/>
      <c r="AE30" s="217"/>
      <c r="AI30" s="18" t="str">
        <f>IF(S30&gt;50,"","Verdiepend onderzoek naar "&amp;'invoer Basis'!L35)</f>
        <v/>
      </c>
      <c r="AJ30" s="18"/>
      <c r="AK30" s="18"/>
      <c r="AL30" s="18"/>
      <c r="AM30" s="18"/>
      <c r="AN30" s="18"/>
      <c r="AO30" s="18"/>
      <c r="AP30" s="18"/>
      <c r="AQ30" s="18"/>
      <c r="AR30" s="18"/>
      <c r="AS30" s="18"/>
      <c r="AT30" s="18"/>
      <c r="AU30" s="18"/>
      <c r="AV30" s="18"/>
      <c r="AW30" s="18"/>
      <c r="AX30" s="18"/>
      <c r="AY30" s="18"/>
      <c r="AZ30" s="18"/>
      <c r="BA30" s="18"/>
      <c r="BB30" s="18"/>
      <c r="BC30" s="18"/>
    </row>
    <row r="31" spans="2:55" ht="15.6" x14ac:dyDescent="0.3">
      <c r="B31" s="30"/>
      <c r="C31" s="133">
        <f>'invoer Basis'!K36</f>
        <v>6</v>
      </c>
      <c r="D31" s="146" t="str">
        <f>'invoer Basis'!L36</f>
        <v xml:space="preserve">Ontwerp voor optimaal beheer en onderhoud </v>
      </c>
      <c r="E31" s="146"/>
      <c r="F31" s="146"/>
      <c r="G31" s="146"/>
      <c r="H31" s="147"/>
      <c r="I31" s="147"/>
      <c r="J31" s="147"/>
      <c r="K31" s="147"/>
      <c r="L31" s="147"/>
      <c r="M31" s="147"/>
      <c r="N31" s="147"/>
      <c r="O31" s="255"/>
      <c r="P31" s="246">
        <f>'invoer Basis'!W36</f>
        <v>7.0000000000000007E-2</v>
      </c>
      <c r="Q31" s="158" t="e">
        <f>P31*P32*S32</f>
        <v>#VALUE!</v>
      </c>
      <c r="R31" s="20"/>
      <c r="S31" s="482"/>
      <c r="T31" s="216"/>
      <c r="U31" s="216"/>
      <c r="V31" s="19"/>
      <c r="W31" s="19"/>
      <c r="X31" s="19"/>
      <c r="Y31" s="19"/>
      <c r="Z31" s="19"/>
      <c r="AA31" s="19"/>
      <c r="AB31" s="19"/>
      <c r="AC31" s="19"/>
      <c r="AD31" s="19"/>
      <c r="AE31" s="217"/>
      <c r="AI31" s="18"/>
      <c r="AJ31" s="18"/>
      <c r="AK31" s="18"/>
      <c r="AL31" s="18"/>
      <c r="AM31" s="18"/>
      <c r="AN31" s="18"/>
      <c r="AO31" s="18"/>
      <c r="AP31" s="18"/>
      <c r="AQ31" s="18"/>
      <c r="AR31" s="18"/>
      <c r="AS31" s="18"/>
      <c r="AT31" s="18"/>
      <c r="AU31" s="18"/>
      <c r="AV31" s="18"/>
      <c r="AW31" s="18"/>
      <c r="AX31" s="18"/>
      <c r="AY31" s="18"/>
      <c r="AZ31" s="18"/>
      <c r="BA31" s="18"/>
      <c r="BB31" s="18"/>
      <c r="BC31" s="18"/>
    </row>
    <row r="32" spans="2:55" ht="15.6" x14ac:dyDescent="0.3">
      <c r="B32" s="30"/>
      <c r="C32" s="380" t="str">
        <f>'invoer Basis'!K37</f>
        <v>a</v>
      </c>
      <c r="D32" s="649">
        <f>'invoer Basis'!N37</f>
        <v>0</v>
      </c>
      <c r="E32" s="650"/>
      <c r="F32" s="650"/>
      <c r="G32" s="650"/>
      <c r="H32" s="650"/>
      <c r="I32" s="650"/>
      <c r="J32" s="650"/>
      <c r="K32" s="650"/>
      <c r="L32" s="650"/>
      <c r="M32" s="650"/>
      <c r="N32" s="650"/>
      <c r="O32" s="651"/>
      <c r="P32" s="247">
        <f>'invoer Basis'!W37</f>
        <v>1</v>
      </c>
      <c r="Q32" s="191"/>
      <c r="R32" s="20"/>
      <c r="S32" s="481" t="str">
        <f>'invoer Basis'!AL37</f>
        <v>----</v>
      </c>
      <c r="T32" s="216"/>
      <c r="U32" s="216"/>
      <c r="V32" s="19"/>
      <c r="W32" s="19"/>
      <c r="X32" s="19"/>
      <c r="Y32" s="19"/>
      <c r="Z32" s="19"/>
      <c r="AA32" s="19"/>
      <c r="AB32" s="19"/>
      <c r="AC32" s="19"/>
      <c r="AD32" s="19"/>
      <c r="AE32" s="217"/>
      <c r="AI32" s="18" t="str">
        <f>IF(S32&gt;50,"","Verdiepend onderzoek naar "&amp;'invoer Basis'!L37)</f>
        <v/>
      </c>
      <c r="AJ32" s="18"/>
      <c r="AK32" s="18"/>
      <c r="AL32" s="18"/>
      <c r="AM32" s="18"/>
      <c r="AN32" s="18"/>
      <c r="AO32" s="18"/>
      <c r="AP32" s="18"/>
      <c r="AQ32" s="18"/>
      <c r="AR32" s="18"/>
      <c r="AS32" s="18"/>
      <c r="AT32" s="18"/>
      <c r="AU32" s="18"/>
      <c r="AV32" s="18"/>
      <c r="AW32" s="18"/>
      <c r="AX32" s="18"/>
      <c r="AY32" s="18"/>
      <c r="AZ32" s="18"/>
      <c r="BA32" s="18"/>
      <c r="BB32" s="18"/>
      <c r="BC32" s="18"/>
    </row>
    <row r="33" spans="2:55" ht="15.6" x14ac:dyDescent="0.3">
      <c r="B33" s="30"/>
      <c r="C33" s="134">
        <f>'invoer Basis'!K38</f>
        <v>7</v>
      </c>
      <c r="D33" s="148" t="str">
        <f>'invoer Basis'!L38</f>
        <v>Duurzaam materiaalgebruik (hoeveel x milieubelasting)</v>
      </c>
      <c r="E33" s="148"/>
      <c r="F33" s="148"/>
      <c r="G33" s="148"/>
      <c r="H33" s="149"/>
      <c r="I33" s="149"/>
      <c r="J33" s="149"/>
      <c r="K33" s="149"/>
      <c r="L33" s="149"/>
      <c r="M33" s="149"/>
      <c r="N33" s="149"/>
      <c r="O33" s="256"/>
      <c r="P33" s="246">
        <f>'invoer Basis'!W38</f>
        <v>0.25</v>
      </c>
      <c r="Q33" s="158" t="e">
        <f>(S34*P34+S35*P35)*P33</f>
        <v>#VALUE!</v>
      </c>
      <c r="R33" s="20"/>
      <c r="S33" s="482"/>
      <c r="T33" s="216"/>
      <c r="U33" s="216"/>
      <c r="V33" s="19"/>
      <c r="W33" s="19"/>
      <c r="X33" s="19"/>
      <c r="Y33" s="19"/>
      <c r="Z33" s="19"/>
      <c r="AA33" s="19"/>
      <c r="AB33" s="19"/>
      <c r="AC33" s="19"/>
      <c r="AD33" s="19"/>
      <c r="AE33" s="217"/>
      <c r="AI33" s="18"/>
      <c r="AJ33" s="18"/>
      <c r="AK33" s="18"/>
      <c r="AL33" s="18"/>
      <c r="AM33" s="18"/>
      <c r="AN33" s="18"/>
      <c r="AO33" s="18"/>
      <c r="AP33" s="18"/>
      <c r="AQ33" s="18"/>
      <c r="AR33" s="18"/>
      <c r="AS33" s="18"/>
      <c r="AT33" s="18"/>
      <c r="AU33" s="18"/>
      <c r="AV33" s="18"/>
      <c r="AW33" s="18"/>
      <c r="AX33" s="18"/>
      <c r="AY33" s="18"/>
      <c r="AZ33" s="18"/>
      <c r="BA33" s="18"/>
      <c r="BB33" s="18"/>
      <c r="BC33" s="18"/>
    </row>
    <row r="34" spans="2:55" ht="15.6" x14ac:dyDescent="0.3">
      <c r="B34" s="30"/>
      <c r="C34" s="380" t="str">
        <f>'invoer Basis'!K39</f>
        <v>a</v>
      </c>
      <c r="D34" s="389">
        <f>'invoer Basis'!N39</f>
        <v>0</v>
      </c>
      <c r="E34" s="390"/>
      <c r="F34" s="390"/>
      <c r="G34" s="390"/>
      <c r="H34" s="390"/>
      <c r="I34" s="390"/>
      <c r="J34" s="390"/>
      <c r="K34" s="390"/>
      <c r="L34" s="390"/>
      <c r="M34" s="390"/>
      <c r="N34" s="390"/>
      <c r="O34" s="487"/>
      <c r="P34" s="247">
        <f>'invoer Basis'!W39</f>
        <v>0.8</v>
      </c>
      <c r="Q34" s="191"/>
      <c r="R34" s="20"/>
      <c r="S34" s="481" t="str">
        <f>'invoer Basis'!AL39</f>
        <v>----</v>
      </c>
      <c r="T34" s="216"/>
      <c r="U34" s="216"/>
      <c r="V34" s="19"/>
      <c r="W34" s="19"/>
      <c r="X34" s="19"/>
      <c r="Y34" s="19"/>
      <c r="Z34" s="19"/>
      <c r="AA34" s="19"/>
      <c r="AB34" s="19"/>
      <c r="AC34" s="19"/>
      <c r="AD34" s="19"/>
      <c r="AE34" s="217"/>
      <c r="AI34" s="18" t="str">
        <f>IF(S34&gt;50,"","Verdiepend onderzoek naar "&amp;'invoer Basis'!L39)</f>
        <v/>
      </c>
      <c r="AJ34" s="18"/>
      <c r="AK34" s="18"/>
      <c r="AL34" s="18"/>
      <c r="AM34" s="18"/>
      <c r="AN34" s="18"/>
      <c r="AO34" s="18"/>
      <c r="AP34" s="18"/>
      <c r="AQ34" s="18"/>
      <c r="AR34" s="18"/>
      <c r="AS34" s="18"/>
      <c r="AT34" s="18"/>
      <c r="AU34" s="18"/>
      <c r="AV34" s="18"/>
      <c r="AW34" s="18"/>
      <c r="AX34" s="18"/>
      <c r="AY34" s="18"/>
      <c r="AZ34" s="18"/>
      <c r="BA34" s="18"/>
      <c r="BB34" s="18"/>
      <c r="BC34" s="18"/>
    </row>
    <row r="35" spans="2:55" ht="15.6" x14ac:dyDescent="0.3">
      <c r="B35" s="30"/>
      <c r="C35" s="380" t="str">
        <f>'invoer Basis'!K40</f>
        <v>b</v>
      </c>
      <c r="D35" s="389">
        <f>'invoer Basis'!N40</f>
        <v>0</v>
      </c>
      <c r="E35" s="390"/>
      <c r="F35" s="390"/>
      <c r="G35" s="390"/>
      <c r="H35" s="390"/>
      <c r="I35" s="390"/>
      <c r="J35" s="390"/>
      <c r="K35" s="390"/>
      <c r="L35" s="390"/>
      <c r="M35" s="390"/>
      <c r="N35" s="390"/>
      <c r="O35" s="487"/>
      <c r="P35" s="247">
        <f>'invoer Basis'!W40</f>
        <v>0.19999999999999996</v>
      </c>
      <c r="Q35" s="191"/>
      <c r="R35" s="20"/>
      <c r="S35" s="481" t="str">
        <f>'invoer Basis'!AL40</f>
        <v>----</v>
      </c>
      <c r="T35" s="216"/>
      <c r="U35" s="216"/>
      <c r="V35" s="19"/>
      <c r="W35" s="19"/>
      <c r="X35" s="19"/>
      <c r="Y35" s="19"/>
      <c r="Z35" s="19"/>
      <c r="AA35" s="19"/>
      <c r="AB35" s="19"/>
      <c r="AC35" s="19"/>
      <c r="AD35" s="19"/>
      <c r="AE35" s="217"/>
      <c r="AI35" s="18" t="str">
        <f>IF(S35&gt;50,"","Verdiepend onderzoek naar "&amp;'invoer Basis'!L40)</f>
        <v/>
      </c>
      <c r="AJ35" s="18"/>
      <c r="AK35" s="18"/>
      <c r="AL35" s="18"/>
      <c r="AM35" s="18"/>
      <c r="AN35" s="18"/>
      <c r="AO35" s="18"/>
      <c r="AP35" s="18"/>
      <c r="AQ35" s="18"/>
      <c r="AR35" s="18"/>
      <c r="AS35" s="18"/>
      <c r="AT35" s="18"/>
      <c r="AU35" s="18"/>
      <c r="AV35" s="18"/>
      <c r="AW35" s="18"/>
      <c r="AX35" s="18"/>
      <c r="AY35" s="18"/>
      <c r="AZ35" s="18"/>
      <c r="BA35" s="18"/>
      <c r="BB35" s="18"/>
      <c r="BC35" s="18"/>
    </row>
    <row r="36" spans="2:55" ht="15.6" x14ac:dyDescent="0.3">
      <c r="B36" s="30"/>
      <c r="C36" s="135">
        <f>'invoer Basis'!K41</f>
        <v>8</v>
      </c>
      <c r="D36" s="150" t="str">
        <f>'invoer Basis'!L41</f>
        <v>Ontwerp voor minimaal grondstof- en energiegebruik in de aanleg/gebruiksfase</v>
      </c>
      <c r="E36" s="150"/>
      <c r="F36" s="150"/>
      <c r="G36" s="150"/>
      <c r="H36" s="150"/>
      <c r="I36" s="150"/>
      <c r="J36" s="150"/>
      <c r="K36" s="151"/>
      <c r="L36" s="151"/>
      <c r="M36" s="151"/>
      <c r="N36" s="151"/>
      <c r="O36" s="257"/>
      <c r="P36" s="246">
        <f>'invoer Basis'!W41</f>
        <v>0.1</v>
      </c>
      <c r="Q36" s="158" t="e">
        <f>P36*P37*S37</f>
        <v>#VALUE!</v>
      </c>
      <c r="R36" s="20"/>
      <c r="S36" s="482"/>
      <c r="T36" s="216"/>
      <c r="U36" s="216"/>
      <c r="V36" s="19"/>
      <c r="W36" s="19"/>
      <c r="X36" s="19"/>
      <c r="Y36" s="19"/>
      <c r="Z36" s="19"/>
      <c r="AA36" s="19"/>
      <c r="AB36" s="19"/>
      <c r="AC36" s="19"/>
      <c r="AD36" s="19"/>
      <c r="AE36" s="217"/>
      <c r="AI36" s="18"/>
      <c r="AJ36" s="18"/>
      <c r="AK36" s="18"/>
      <c r="AL36" s="18"/>
      <c r="AM36" s="18"/>
      <c r="AN36" s="18"/>
      <c r="AO36" s="18"/>
      <c r="AP36" s="18"/>
      <c r="AQ36" s="18"/>
      <c r="AR36" s="18"/>
      <c r="AS36" s="18"/>
      <c r="AT36" s="18"/>
      <c r="AU36" s="18"/>
      <c r="AV36" s="18"/>
      <c r="AW36" s="18"/>
      <c r="AX36" s="18"/>
      <c r="AY36" s="18"/>
      <c r="AZ36" s="18"/>
      <c r="BA36" s="18"/>
      <c r="BB36" s="18"/>
      <c r="BC36" s="18"/>
    </row>
    <row r="37" spans="2:55" ht="16.2" thickBot="1" x14ac:dyDescent="0.35">
      <c r="B37" s="30"/>
      <c r="C37" s="391" t="str">
        <f>'invoer Basis'!K42</f>
        <v>a</v>
      </c>
      <c r="D37" s="394">
        <f>'invoer Basis'!N42</f>
        <v>0</v>
      </c>
      <c r="E37" s="392"/>
      <c r="F37" s="392"/>
      <c r="G37" s="392"/>
      <c r="H37" s="392"/>
      <c r="I37" s="392"/>
      <c r="J37" s="392"/>
      <c r="K37" s="392"/>
      <c r="L37" s="392"/>
      <c r="M37" s="392"/>
      <c r="N37" s="392"/>
      <c r="O37" s="393"/>
      <c r="P37" s="248">
        <f>'invoer Basis'!W42</f>
        <v>1</v>
      </c>
      <c r="Q37" s="192"/>
      <c r="R37" s="20"/>
      <c r="S37" s="481" t="str">
        <f>'invoer Basis'!AL42</f>
        <v>----</v>
      </c>
      <c r="T37" s="216" t="str">
        <f>IF(S37&lt;75,'info weging'!I157,"")</f>
        <v/>
      </c>
      <c r="U37" s="216"/>
      <c r="V37" s="19"/>
      <c r="W37" s="19"/>
      <c r="X37" s="19"/>
      <c r="Y37" s="19"/>
      <c r="Z37" s="19"/>
      <c r="AA37" s="19"/>
      <c r="AB37" s="19"/>
      <c r="AC37" s="19"/>
      <c r="AD37" s="19"/>
      <c r="AE37" s="217"/>
      <c r="AI37" s="18" t="str">
        <f>IF(S37&gt;50,"","Verdiepend onderzoek naar "&amp;'invoer Basis'!L42)</f>
        <v/>
      </c>
      <c r="AJ37" s="18"/>
      <c r="AK37" s="18"/>
      <c r="AL37" s="18"/>
      <c r="AM37" s="18"/>
      <c r="AN37" s="18"/>
      <c r="AO37" s="18"/>
      <c r="AP37" s="18"/>
      <c r="AQ37" s="18"/>
      <c r="AR37" s="18"/>
      <c r="AS37" s="18"/>
      <c r="AT37" s="18"/>
      <c r="AU37" s="18"/>
      <c r="AV37" s="18"/>
      <c r="AW37" s="18"/>
      <c r="AX37" s="18"/>
      <c r="AY37" s="18"/>
      <c r="AZ37" s="18"/>
      <c r="BA37" s="18"/>
      <c r="BB37" s="18"/>
      <c r="BC37" s="18"/>
    </row>
    <row r="38" spans="2:55" ht="16.2" thickBot="1" x14ac:dyDescent="0.35">
      <c r="B38" s="30"/>
      <c r="C38" s="193" t="s">
        <v>143</v>
      </c>
      <c r="D38" s="194"/>
      <c r="E38" s="194"/>
      <c r="F38" s="194"/>
      <c r="G38" s="194"/>
      <c r="H38" s="194"/>
      <c r="I38" s="194"/>
      <c r="J38" s="194"/>
      <c r="K38" s="194"/>
      <c r="L38" s="194"/>
      <c r="M38" s="194"/>
      <c r="N38" s="194"/>
      <c r="O38" s="258"/>
      <c r="P38" s="249">
        <v>1</v>
      </c>
      <c r="Q38" s="195" t="e">
        <f>SUM(Q18:Q37)</f>
        <v>#VALUE!</v>
      </c>
      <c r="R38" s="20"/>
      <c r="S38" s="488"/>
      <c r="T38" s="216"/>
      <c r="U38" s="216"/>
      <c r="V38" s="19"/>
      <c r="W38" s="19"/>
      <c r="X38" s="19"/>
      <c r="Y38" s="19"/>
      <c r="Z38" s="19"/>
      <c r="AA38" s="19"/>
      <c r="AB38" s="19"/>
      <c r="AC38" s="19"/>
      <c r="AD38" s="19"/>
      <c r="AE38" s="217"/>
      <c r="AI38" s="18"/>
      <c r="AJ38" s="18"/>
      <c r="AK38" s="18"/>
      <c r="AL38" s="18"/>
      <c r="AM38" s="18"/>
      <c r="AN38" s="18"/>
      <c r="AO38" s="18"/>
      <c r="AP38" s="18"/>
      <c r="AQ38" s="18"/>
      <c r="AR38" s="18"/>
      <c r="AS38" s="18"/>
      <c r="AT38" s="18"/>
      <c r="AU38" s="18"/>
      <c r="AV38" s="18"/>
      <c r="AW38" s="18"/>
      <c r="AX38" s="18"/>
      <c r="AY38" s="18"/>
      <c r="AZ38" s="18"/>
      <c r="BA38" s="18"/>
      <c r="BB38" s="18"/>
      <c r="BC38" s="18"/>
    </row>
    <row r="39" spans="2:55" ht="16.2" thickBot="1" x14ac:dyDescent="0.35">
      <c r="B39" s="30"/>
      <c r="C39" s="640" t="s">
        <v>321</v>
      </c>
      <c r="D39" s="720" t="s">
        <v>383</v>
      </c>
      <c r="E39" s="164"/>
      <c r="F39" s="164"/>
      <c r="G39" s="164"/>
      <c r="H39" s="164"/>
      <c r="I39" s="164"/>
      <c r="J39" s="164"/>
      <c r="K39" s="164"/>
      <c r="L39" s="164"/>
      <c r="M39" s="164"/>
      <c r="N39" s="209"/>
      <c r="P39" s="250">
        <v>1</v>
      </c>
      <c r="Q39" s="721">
        <f>IF(S39&gt;10,10,S39)</f>
        <v>0</v>
      </c>
      <c r="R39" s="20"/>
      <c r="S39" s="719">
        <f>'invoer Basis'!AP44</f>
        <v>0</v>
      </c>
      <c r="T39" s="216"/>
      <c r="U39" s="216"/>
      <c r="V39" s="19"/>
      <c r="W39" s="19"/>
      <c r="X39" s="19"/>
      <c r="Y39" s="19"/>
      <c r="Z39" s="19"/>
      <c r="AA39" s="19"/>
      <c r="AB39" s="19"/>
      <c r="AC39" s="19"/>
      <c r="AD39" s="19"/>
      <c r="AE39" s="217"/>
      <c r="AI39" s="18" t="str">
        <f>IF('invoer Basis'!AR44=0,"",'invoer Basis'!AR44)</f>
        <v/>
      </c>
      <c r="AJ39" s="18"/>
      <c r="AK39" s="18"/>
      <c r="AL39" s="18"/>
      <c r="AM39" s="18"/>
      <c r="AN39" s="18"/>
      <c r="AO39" s="18"/>
      <c r="AP39" s="18"/>
      <c r="AQ39" s="18"/>
      <c r="AR39" s="18"/>
      <c r="AS39" s="18"/>
      <c r="AT39" s="18"/>
      <c r="AU39" s="18"/>
      <c r="AV39" s="18"/>
      <c r="AW39" s="18"/>
      <c r="AX39" s="18"/>
      <c r="AY39" s="18"/>
      <c r="AZ39" s="18"/>
      <c r="BA39" s="18"/>
      <c r="BB39" s="18"/>
      <c r="BC39" s="18"/>
    </row>
    <row r="40" spans="2:55" ht="16.2" thickBot="1" x14ac:dyDescent="0.35">
      <c r="B40" s="30"/>
      <c r="C40" s="197" t="s">
        <v>144</v>
      </c>
      <c r="D40" s="198"/>
      <c r="E40" s="198"/>
      <c r="F40" s="198"/>
      <c r="G40" s="198"/>
      <c r="H40" s="198"/>
      <c r="I40" s="198"/>
      <c r="J40" s="198"/>
      <c r="K40" s="198"/>
      <c r="L40" s="198"/>
      <c r="M40" s="198"/>
      <c r="N40" s="208"/>
      <c r="O40" s="199"/>
      <c r="P40" s="198"/>
      <c r="Q40" s="200" t="e">
        <f>Q38+Q39</f>
        <v>#VALUE!</v>
      </c>
      <c r="R40" s="20"/>
      <c r="S40" s="488"/>
      <c r="T40" s="218"/>
      <c r="U40" s="218"/>
      <c r="V40" s="219"/>
      <c r="W40" s="219"/>
      <c r="X40" s="219"/>
      <c r="Y40" s="219"/>
      <c r="Z40" s="219"/>
      <c r="AA40" s="219"/>
      <c r="AB40" s="219"/>
      <c r="AC40" s="219"/>
      <c r="AD40" s="219"/>
      <c r="AE40" s="220"/>
      <c r="AI40" s="355"/>
      <c r="AJ40" s="355"/>
      <c r="AK40" s="355"/>
      <c r="AL40" s="355"/>
      <c r="AM40" s="355"/>
      <c r="AN40" s="355"/>
      <c r="AO40" s="355"/>
      <c r="AP40" s="355"/>
      <c r="AQ40" s="355"/>
      <c r="AR40" s="355"/>
      <c r="AS40" s="355"/>
      <c r="AT40" s="355"/>
      <c r="AU40" s="355"/>
      <c r="AV40" s="355"/>
      <c r="AW40" s="355"/>
      <c r="AX40" s="355"/>
      <c r="AY40" s="355"/>
      <c r="AZ40" s="355"/>
      <c r="BA40" s="355"/>
      <c r="BB40" s="355"/>
      <c r="BC40" s="355"/>
    </row>
    <row r="41" spans="2:55" x14ac:dyDescent="0.3">
      <c r="B41" s="31"/>
      <c r="C41" s="489" t="s">
        <v>145</v>
      </c>
      <c r="D41" s="38"/>
      <c r="E41" s="38"/>
      <c r="F41" s="38"/>
      <c r="G41" s="38"/>
      <c r="H41" s="38"/>
      <c r="I41" s="38"/>
      <c r="J41" s="38"/>
      <c r="K41" s="38"/>
      <c r="L41" s="38"/>
      <c r="M41" s="38"/>
      <c r="N41" s="490">
        <v>0</v>
      </c>
      <c r="O41" s="491">
        <v>100</v>
      </c>
      <c r="P41" s="643" t="s">
        <v>323</v>
      </c>
      <c r="Q41" s="644" t="e">
        <f>100-Q40</f>
        <v>#VALUE!</v>
      </c>
      <c r="R41" s="38"/>
      <c r="S41" s="125"/>
    </row>
    <row r="42" spans="2:55" x14ac:dyDescent="0.3">
      <c r="H42" s="109"/>
      <c r="I42" s="109"/>
      <c r="J42" s="109"/>
      <c r="K42" s="109"/>
      <c r="L42" s="109"/>
      <c r="M42" s="109"/>
      <c r="N42" s="109"/>
      <c r="P42" s="109"/>
      <c r="Q42" s="109"/>
    </row>
  </sheetData>
  <sheetProtection algorithmName="SHA-512" hashValue="DM644rbtrBkpdFNaTTDdyvG2nc9zQRUaPAwIYDueFIu6K7xspuOtIFvE5WaaCdwHhC0hzAVpP8CFTwgIcOBuQg==" saltValue="JUYrb6qESQPNyJP2OFzEUw==" spinCount="100000" sheet="1" objects="1" scenarios="1"/>
  <conditionalFormatting sqref="R3:R5">
    <cfRule type="colorScale" priority="70">
      <colorScale>
        <cfvo type="min"/>
        <cfvo type="percentile" val="50"/>
        <cfvo type="max"/>
        <color rgb="FFF8696B"/>
        <color rgb="FFFFEB84"/>
        <color rgb="FF63BE7B"/>
      </colorScale>
    </cfRule>
  </conditionalFormatting>
  <conditionalFormatting sqref="N18:N37 N39:N40 O26">
    <cfRule type="iconSet" priority="40">
      <iconSet iconSet="4TrafficLights">
        <cfvo type="percent" val="0"/>
        <cfvo type="num" val="25" gte="0"/>
        <cfvo type="num" val="50" gte="0"/>
        <cfvo type="num" val="75" gte="0"/>
      </iconSet>
    </cfRule>
    <cfRule type="iconSet" priority="41">
      <iconSet iconSet="4TrafficLights">
        <cfvo type="percent" val="0"/>
        <cfvo type="num" val="0"/>
        <cfvo type="num" val="0"/>
        <cfvo type="num" val="76"/>
      </iconSet>
    </cfRule>
  </conditionalFormatting>
  <conditionalFormatting sqref="S20 S22 S26 S29 S31 S33 S36">
    <cfRule type="iconSet" priority="36">
      <iconSet iconSet="4TrafficLights">
        <cfvo type="percent" val="0"/>
        <cfvo type="num" val="25" gte="0"/>
        <cfvo type="num" val="50" gte="0"/>
        <cfvo type="num" val="75" gte="0"/>
      </iconSet>
    </cfRule>
    <cfRule type="iconSet" priority="37">
      <iconSet iconSet="4TrafficLights">
        <cfvo type="percent" val="0"/>
        <cfvo type="num" val="0"/>
        <cfvo type="num" val="0"/>
        <cfvo type="num" val="76"/>
      </iconSet>
    </cfRule>
  </conditionalFormatting>
  <conditionalFormatting sqref="O29">
    <cfRule type="iconSet" priority="34">
      <iconSet iconSet="4TrafficLights">
        <cfvo type="percent" val="0"/>
        <cfvo type="num" val="25" gte="0"/>
        <cfvo type="num" val="50" gte="0"/>
        <cfvo type="num" val="75" gte="0"/>
      </iconSet>
    </cfRule>
    <cfRule type="iconSet" priority="35">
      <iconSet iconSet="4TrafficLights">
        <cfvo type="percent" val="0"/>
        <cfvo type="num" val="0"/>
        <cfvo type="num" val="0"/>
        <cfvo type="num" val="76"/>
      </iconSet>
    </cfRule>
  </conditionalFormatting>
  <conditionalFormatting sqref="O31">
    <cfRule type="iconSet" priority="32">
      <iconSet iconSet="4TrafficLights">
        <cfvo type="percent" val="0"/>
        <cfvo type="num" val="25" gte="0"/>
        <cfvo type="num" val="50" gte="0"/>
        <cfvo type="num" val="75" gte="0"/>
      </iconSet>
    </cfRule>
    <cfRule type="iconSet" priority="33">
      <iconSet iconSet="4TrafficLights">
        <cfvo type="percent" val="0"/>
        <cfvo type="num" val="0"/>
        <cfvo type="num" val="0"/>
        <cfvo type="num" val="76"/>
      </iconSet>
    </cfRule>
  </conditionalFormatting>
  <conditionalFormatting sqref="O33">
    <cfRule type="iconSet" priority="30">
      <iconSet iconSet="4TrafficLights">
        <cfvo type="percent" val="0"/>
        <cfvo type="num" val="25" gte="0"/>
        <cfvo type="num" val="50" gte="0"/>
        <cfvo type="num" val="75" gte="0"/>
      </iconSet>
    </cfRule>
    <cfRule type="iconSet" priority="31">
      <iconSet iconSet="4TrafficLights">
        <cfvo type="percent" val="0"/>
        <cfvo type="num" val="0"/>
        <cfvo type="num" val="0"/>
        <cfvo type="num" val="76"/>
      </iconSet>
    </cfRule>
  </conditionalFormatting>
  <conditionalFormatting sqref="O36">
    <cfRule type="iconSet" priority="28">
      <iconSet iconSet="4TrafficLights">
        <cfvo type="percent" val="0"/>
        <cfvo type="num" val="25" gte="0"/>
        <cfvo type="num" val="50" gte="0"/>
        <cfvo type="num" val="75" gte="0"/>
      </iconSet>
    </cfRule>
    <cfRule type="iconSet" priority="29">
      <iconSet iconSet="4TrafficLights">
        <cfvo type="percent" val="0"/>
        <cfvo type="num" val="0"/>
        <cfvo type="num" val="0"/>
        <cfvo type="num" val="76"/>
      </iconSet>
    </cfRule>
  </conditionalFormatting>
  <conditionalFormatting sqref="S19 S21 S23:S25 S27:S28 S30 S32 S34:S35 S37">
    <cfRule type="iconSet" priority="27">
      <iconSet>
        <cfvo type="percent" val="0"/>
        <cfvo type="num" val="50"/>
        <cfvo type="num" val="75"/>
      </iconSet>
    </cfRule>
  </conditionalFormatting>
  <conditionalFormatting sqref="O5">
    <cfRule type="iconSet" priority="7">
      <iconSet>
        <cfvo type="percent" val="0"/>
        <cfvo type="percent" val="25"/>
        <cfvo type="percent" val="75"/>
      </iconSet>
    </cfRule>
  </conditionalFormatting>
  <conditionalFormatting sqref="P5">
    <cfRule type="iconSet" priority="6">
      <iconSet>
        <cfvo type="percent" val="0"/>
        <cfvo type="percent" val="25"/>
        <cfvo type="percent" val="75"/>
      </iconSet>
    </cfRule>
  </conditionalFormatting>
  <conditionalFormatting sqref="Q5">
    <cfRule type="iconSet" priority="3">
      <iconSet>
        <cfvo type="percent" val="0"/>
        <cfvo type="percent" val="25"/>
        <cfvo type="percent" val="75"/>
      </iconSet>
    </cfRule>
    <cfRule type="iconSet" priority="4">
      <iconSet>
        <cfvo type="percent" val="0"/>
        <cfvo type="percent" val="33"/>
        <cfvo type="percent" val="67"/>
      </iconSet>
    </cfRule>
    <cfRule type="iconSet" priority="5">
      <iconSet>
        <cfvo type="percent" val="0"/>
        <cfvo type="percent" val="25"/>
        <cfvo type="percent" val="75"/>
      </iconSet>
    </cfRule>
  </conditionalFormatting>
  <conditionalFormatting sqref="O5:Q5">
    <cfRule type="iconSet" priority="1">
      <iconSet>
        <cfvo type="percent" val="0"/>
        <cfvo type="num" val="0.26"/>
        <cfvo type="num" val="0.75"/>
      </iconSet>
    </cfRule>
    <cfRule type="iconSet" priority="2">
      <iconSet>
        <cfvo type="percent" val="0"/>
        <cfvo type="percent" val="33"/>
        <cfvo type="percent" val="67"/>
      </iconSet>
    </cfRule>
  </conditionalFormatting>
  <pageMargins left="0.7" right="0.7" top="0.75" bottom="0.75" header="0.3" footer="0.3"/>
  <drawing r:id="rId1"/>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3808C6E9-C678-454A-853C-510BABE274B7}">
          <x14:formula1>
            <xm:f>'info weging'!$H$175:$H$181</xm:f>
          </x14:formula1>
          <xm:sqref>T4:T5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07972-2FB9-434C-A6E1-734CB8981F2D}">
  <sheetPr>
    <tabColor rgb="FF00B0F0"/>
  </sheetPr>
  <dimension ref="A1:AR127"/>
  <sheetViews>
    <sheetView showGridLines="0" showRowColHeaders="0" zoomScale="55" zoomScaleNormal="55" workbookViewId="0"/>
  </sheetViews>
  <sheetFormatPr defaultRowHeight="16.2" customHeight="1" x14ac:dyDescent="0.3"/>
  <cols>
    <col min="1" max="1" width="15" customWidth="1"/>
    <col min="2" max="2" width="5.6640625" customWidth="1"/>
    <col min="3" max="3" width="76.33203125" style="297" customWidth="1"/>
    <col min="4" max="4" width="10.6640625" style="368" customWidth="1"/>
    <col min="5" max="10" width="10.6640625" style="37" customWidth="1"/>
    <col min="11" max="11" width="12.88671875" style="37" customWidth="1"/>
    <col min="12" max="13" width="10.6640625" style="37" customWidth="1"/>
    <col min="14" max="14" width="4.77734375" style="367" customWidth="1"/>
    <col min="15" max="15" width="21.6640625" customWidth="1"/>
    <col min="16" max="17" width="8.88671875" customWidth="1"/>
    <col min="18" max="18" width="8.6640625" customWidth="1"/>
    <col min="19" max="19" width="21.6640625" customWidth="1"/>
    <col min="20" max="21" width="8.88671875" customWidth="1"/>
    <col min="22" max="22" width="8.6640625" customWidth="1"/>
    <col min="23" max="23" width="21.6640625" customWidth="1"/>
    <col min="24" max="24" width="8.88671875" customWidth="1"/>
    <col min="25" max="25" width="6.33203125" bestFit="1" customWidth="1"/>
    <col min="26" max="26" width="35.44140625" style="297" customWidth="1"/>
    <col min="27" max="27" width="1.6640625" customWidth="1"/>
    <col min="28" max="28" width="134.6640625" customWidth="1"/>
  </cols>
  <sheetData>
    <row r="1" spans="2:44" ht="69" customHeight="1" x14ac:dyDescent="0.3">
      <c r="C1"/>
      <c r="D1" s="37"/>
      <c r="N1"/>
    </row>
    <row r="2" spans="2:44" ht="16.2" customHeight="1" x14ac:dyDescent="0.3">
      <c r="C2"/>
      <c r="D2" s="37"/>
      <c r="N2"/>
    </row>
    <row r="3" spans="2:44" ht="67.2" customHeight="1" x14ac:dyDescent="1.1000000000000001">
      <c r="B3" s="548" t="str">
        <f>'invoer Basis'!$N$4&amp;" - vergelijking alternatieven"</f>
        <v>Projectnaam - vergelijking alternatieven</v>
      </c>
      <c r="C3" s="155"/>
      <c r="D3" s="529"/>
      <c r="E3" s="529"/>
      <c r="F3" s="529"/>
      <c r="G3" s="529"/>
      <c r="H3" s="529"/>
      <c r="I3" s="529"/>
      <c r="J3" s="529"/>
      <c r="K3" s="529"/>
      <c r="L3" s="529"/>
      <c r="M3" s="529"/>
      <c r="N3" s="155"/>
      <c r="O3" s="673" t="str">
        <f>'invoer Basis'!N2</f>
        <v>De Circulaire Peiler</v>
      </c>
      <c r="P3" s="155"/>
      <c r="Q3" s="155"/>
      <c r="R3" s="155"/>
      <c r="S3" s="155"/>
      <c r="T3" s="155"/>
      <c r="U3" s="155"/>
      <c r="V3" s="155"/>
      <c r="W3" s="155"/>
      <c r="Y3" s="811" t="s">
        <v>432</v>
      </c>
      <c r="Z3" s="812"/>
      <c r="AA3" s="813"/>
      <c r="AB3" s="813"/>
      <c r="AC3" s="813"/>
      <c r="AD3" s="813"/>
      <c r="AE3" s="813"/>
      <c r="AF3" s="813"/>
      <c r="AG3" s="813"/>
      <c r="AH3" s="813"/>
      <c r="AI3" s="813"/>
      <c r="AJ3" s="813"/>
      <c r="AK3" s="813"/>
      <c r="AL3" s="813"/>
      <c r="AM3" s="813"/>
      <c r="AN3" s="813"/>
      <c r="AO3" s="813"/>
      <c r="AP3" s="813"/>
      <c r="AQ3" s="813"/>
      <c r="AR3" s="813"/>
    </row>
    <row r="4" spans="2:44" ht="16.2" customHeight="1" x14ac:dyDescent="0.4">
      <c r="B4" s="212"/>
      <c r="C4" s="211"/>
      <c r="D4" s="530"/>
      <c r="E4" s="530"/>
      <c r="F4" s="530"/>
      <c r="G4" s="530"/>
      <c r="H4" s="530"/>
      <c r="I4" s="530"/>
      <c r="J4" s="530"/>
      <c r="K4" s="530"/>
      <c r="L4" s="530"/>
      <c r="M4" s="530"/>
      <c r="N4" s="211"/>
      <c r="O4" s="211"/>
      <c r="P4" s="211"/>
      <c r="Q4" s="211"/>
      <c r="R4" s="211"/>
      <c r="S4" s="211"/>
      <c r="T4" s="211"/>
      <c r="U4" s="211"/>
      <c r="V4" s="211"/>
      <c r="W4" s="211"/>
      <c r="Y4" s="814"/>
      <c r="Z4" s="815"/>
      <c r="AA4" s="814"/>
      <c r="AB4" s="814"/>
      <c r="AC4" s="814"/>
      <c r="AD4" s="814"/>
      <c r="AE4" s="814"/>
      <c r="AF4" s="814"/>
      <c r="AG4" s="814"/>
      <c r="AH4" s="814"/>
      <c r="AI4" s="814"/>
      <c r="AJ4" s="814"/>
      <c r="AK4" s="814"/>
      <c r="AL4" s="814"/>
      <c r="AM4" s="814"/>
      <c r="AN4" s="814"/>
      <c r="AO4" s="814"/>
      <c r="AP4" s="814"/>
      <c r="AQ4" s="814"/>
      <c r="AR4" s="814"/>
    </row>
    <row r="5" spans="2:44" ht="16.2" customHeight="1" x14ac:dyDescent="0.4">
      <c r="B5" s="157" t="str">
        <f>'invoer Basis'!N8</f>
        <v>verkenningsfase</v>
      </c>
      <c r="C5" s="156"/>
      <c r="D5" s="531"/>
      <c r="E5" s="531"/>
      <c r="F5" s="531"/>
      <c r="G5" s="531"/>
      <c r="H5" s="531"/>
      <c r="I5" s="531"/>
      <c r="J5" s="531"/>
      <c r="K5" s="531"/>
      <c r="L5" s="531"/>
      <c r="M5" s="531"/>
      <c r="N5" s="156"/>
      <c r="O5" s="685" t="str">
        <f>'invoer Basis'!N3</f>
        <v>Peilstok die circulariteit in projecten meetbaar maakt</v>
      </c>
      <c r="P5" s="156"/>
      <c r="Q5" s="156"/>
      <c r="R5" s="156"/>
      <c r="S5" s="156"/>
      <c r="T5" s="156"/>
      <c r="U5" s="156"/>
      <c r="V5" s="156"/>
      <c r="W5" s="156"/>
      <c r="Y5" s="816"/>
      <c r="Z5" s="817"/>
      <c r="AA5" s="816"/>
      <c r="AB5" s="816"/>
      <c r="AC5" s="816"/>
      <c r="AD5" s="816"/>
      <c r="AE5" s="816"/>
      <c r="AF5" s="816"/>
      <c r="AG5" s="816"/>
      <c r="AH5" s="816"/>
      <c r="AI5" s="816"/>
      <c r="AJ5" s="816"/>
      <c r="AK5" s="816"/>
      <c r="AL5" s="816"/>
      <c r="AM5" s="816"/>
      <c r="AN5" s="816"/>
      <c r="AO5" s="816"/>
      <c r="AP5" s="816"/>
      <c r="AQ5" s="816"/>
      <c r="AR5" s="816"/>
    </row>
    <row r="6" spans="2:44" ht="16.2" customHeight="1" x14ac:dyDescent="0.3">
      <c r="B6" s="2" t="s">
        <v>146</v>
      </c>
      <c r="D6"/>
      <c r="E6"/>
      <c r="F6"/>
      <c r="G6"/>
      <c r="H6"/>
      <c r="I6"/>
      <c r="J6"/>
      <c r="K6"/>
      <c r="L6"/>
      <c r="M6"/>
      <c r="N6"/>
    </row>
    <row r="7" spans="2:44" ht="16.2" customHeight="1" x14ac:dyDescent="0.3">
      <c r="B7" s="2" t="s">
        <v>416</v>
      </c>
      <c r="D7"/>
      <c r="E7"/>
      <c r="F7"/>
      <c r="G7"/>
      <c r="H7"/>
      <c r="I7"/>
      <c r="J7"/>
      <c r="K7"/>
      <c r="L7"/>
      <c r="M7"/>
      <c r="N7"/>
    </row>
    <row r="8" spans="2:44" ht="16.2" customHeight="1" thickBot="1" x14ac:dyDescent="0.35">
      <c r="B8" s="2"/>
      <c r="D8"/>
      <c r="E8"/>
      <c r="F8"/>
      <c r="G8"/>
      <c r="H8"/>
      <c r="I8"/>
      <c r="J8"/>
      <c r="K8"/>
      <c r="L8"/>
      <c r="M8"/>
      <c r="N8"/>
    </row>
    <row r="9" spans="2:44" ht="16.2" customHeight="1" x14ac:dyDescent="0.3">
      <c r="B9" s="399" t="str">
        <f>'invoer Basis'!L4&amp;" "&amp;'invoer Basis'!N4</f>
        <v>Naam project: Projectnaam</v>
      </c>
      <c r="C9" s="411"/>
      <c r="D9" s="400"/>
      <c r="E9" s="400"/>
      <c r="F9" s="400"/>
      <c r="G9" s="400"/>
      <c r="H9" s="400"/>
      <c r="I9" s="400"/>
      <c r="J9" s="400"/>
      <c r="K9" s="400"/>
      <c r="L9" s="400"/>
      <c r="M9" s="400"/>
      <c r="N9" s="401"/>
      <c r="O9" s="267"/>
      <c r="P9" s="267"/>
      <c r="Q9" s="267"/>
      <c r="R9" s="267"/>
      <c r="S9" s="267"/>
      <c r="T9" s="267"/>
      <c r="U9" s="267"/>
      <c r="V9" s="267"/>
      <c r="W9" s="288"/>
      <c r="Y9" s="274"/>
      <c r="Z9" s="267"/>
      <c r="AA9" s="267"/>
      <c r="AB9" s="267"/>
      <c r="AC9" s="267"/>
      <c r="AD9" s="267"/>
      <c r="AE9" s="267"/>
      <c r="AF9" s="267"/>
      <c r="AG9" s="267"/>
      <c r="AH9" s="267"/>
      <c r="AI9" s="267"/>
      <c r="AJ9" s="267"/>
      <c r="AK9" s="267"/>
      <c r="AL9" s="267"/>
      <c r="AM9" s="267"/>
      <c r="AN9" s="267"/>
      <c r="AO9" s="267"/>
      <c r="AP9" s="267"/>
      <c r="AQ9" s="267"/>
      <c r="AR9" s="288"/>
    </row>
    <row r="10" spans="2:44" ht="16.2" customHeight="1" x14ac:dyDescent="0.3">
      <c r="B10" s="402" t="str">
        <f>'invoer Basis'!L6&amp;" "&amp;'invoer Basis'!N6</f>
        <v>Locatie project: Plaatsnaam</v>
      </c>
      <c r="C10" s="357"/>
      <c r="D10" s="358"/>
      <c r="E10" s="358"/>
      <c r="F10" s="358"/>
      <c r="G10" s="358"/>
      <c r="H10" s="358"/>
      <c r="I10" s="358"/>
      <c r="J10" s="358"/>
      <c r="K10" s="358"/>
      <c r="L10" s="358"/>
      <c r="M10" s="358"/>
      <c r="N10" s="403"/>
      <c r="O10" s="20"/>
      <c r="P10" s="20"/>
      <c r="Q10" s="20"/>
      <c r="R10" s="20"/>
      <c r="S10" s="20"/>
      <c r="T10" s="20"/>
      <c r="U10" s="20"/>
      <c r="V10" s="20"/>
      <c r="W10" s="289"/>
      <c r="Y10" s="275"/>
      <c r="Z10" s="357"/>
      <c r="AA10" s="20"/>
      <c r="AB10" s="20"/>
      <c r="AC10" s="20"/>
      <c r="AD10" s="20"/>
      <c r="AE10" s="20"/>
      <c r="AF10" s="20"/>
      <c r="AG10" s="20"/>
      <c r="AH10" s="20"/>
      <c r="AI10" s="20"/>
      <c r="AJ10" s="20"/>
      <c r="AK10" s="20"/>
      <c r="AL10" s="20"/>
      <c r="AM10" s="20"/>
      <c r="AN10" s="20"/>
      <c r="AO10" s="20"/>
      <c r="AP10" s="20"/>
      <c r="AQ10" s="20"/>
      <c r="AR10" s="289"/>
    </row>
    <row r="11" spans="2:44" ht="16.2" customHeight="1" x14ac:dyDescent="0.3">
      <c r="B11" s="402" t="str">
        <f>'invoer Basis'!L10&amp;" "&amp;'invoer Basis'!N10</f>
        <v>Berekening uitgevoerd door: Bas Is</v>
      </c>
      <c r="C11" s="357"/>
      <c r="D11" s="358"/>
      <c r="I11" s="358"/>
      <c r="J11" s="358"/>
      <c r="K11" s="358"/>
      <c r="L11" s="358"/>
      <c r="M11" s="358"/>
      <c r="N11" s="403"/>
      <c r="O11" s="20"/>
      <c r="P11" s="20"/>
      <c r="Q11" s="20"/>
      <c r="R11" s="20"/>
      <c r="S11" s="20"/>
      <c r="T11" s="20"/>
      <c r="U11" s="20"/>
      <c r="V11" s="20"/>
      <c r="W11" s="289"/>
      <c r="Y11" s="275"/>
      <c r="Z11" s="357"/>
      <c r="AA11" s="20"/>
      <c r="AB11" s="20"/>
      <c r="AC11" s="20"/>
      <c r="AD11" s="20"/>
      <c r="AE11" s="20"/>
      <c r="AF11" s="20"/>
      <c r="AG11" s="20"/>
      <c r="AH11" s="20"/>
      <c r="AI11" s="20"/>
      <c r="AJ11" s="20"/>
      <c r="AK11" s="20"/>
      <c r="AL11" s="20"/>
      <c r="AM11" s="20"/>
      <c r="AN11" s="20"/>
      <c r="AO11" s="20"/>
      <c r="AP11" s="20"/>
      <c r="AQ11" s="20"/>
      <c r="AR11" s="289"/>
    </row>
    <row r="12" spans="2:44" ht="16.2" customHeight="1" thickBot="1" x14ac:dyDescent="0.35">
      <c r="B12" s="402" t="str">
        <f>'invoer Basis'!M11</f>
        <v/>
      </c>
      <c r="C12" s="834">
        <f>'invoer Basis'!N11</f>
        <v>43831</v>
      </c>
      <c r="D12" s="407" t="s">
        <v>365</v>
      </c>
      <c r="E12" s="407"/>
      <c r="F12" s="407"/>
      <c r="G12" s="407"/>
      <c r="H12" s="407"/>
      <c r="I12" s="407"/>
      <c r="J12" s="407"/>
      <c r="K12" s="407"/>
      <c r="L12" s="407"/>
      <c r="M12" s="407"/>
      <c r="N12" s="408"/>
      <c r="O12" s="164"/>
      <c r="P12" s="164"/>
      <c r="Q12" s="164"/>
      <c r="R12" s="164"/>
      <c r="S12" s="164"/>
      <c r="T12" s="164"/>
      <c r="U12" s="164"/>
      <c r="V12" s="164"/>
      <c r="W12" s="290"/>
      <c r="Y12" s="275"/>
      <c r="Z12" s="357"/>
      <c r="AA12" s="20"/>
      <c r="AB12" s="20"/>
      <c r="AC12" s="20"/>
      <c r="AD12" s="20"/>
      <c r="AE12" s="20"/>
      <c r="AF12" s="20"/>
      <c r="AG12" s="20"/>
      <c r="AH12" s="20"/>
      <c r="AI12" s="20"/>
      <c r="AJ12" s="20"/>
      <c r="AK12" s="20"/>
      <c r="AL12" s="20"/>
      <c r="AM12" s="20"/>
      <c r="AN12" s="20"/>
      <c r="AO12" s="20"/>
      <c r="AP12" s="20"/>
      <c r="AQ12" s="20"/>
      <c r="AR12" s="289"/>
    </row>
    <row r="13" spans="2:44" ht="16.2" customHeight="1" x14ac:dyDescent="0.3">
      <c r="B13" s="423"/>
      <c r="C13" s="412" t="str">
        <f>'invoer Basis'!L7</f>
        <v>Naam alternatief:</v>
      </c>
      <c r="D13" s="671" t="str">
        <f>IF(COUNT(D57)=1,'invoer Basis'!N7,D71&amp;" NIET VOLLEDIG")</f>
        <v>invoer Basis NIET VOLLEDIG</v>
      </c>
      <c r="E13" s="671" t="str">
        <f>IF(COUNT(E57)=1,'A1'!N7,E71&amp;" NIET VOLLEDIG")</f>
        <v>A1 NIET VOLLEDIG</v>
      </c>
      <c r="F13" s="671" t="str">
        <f>IF(COUNT(F57)=1,'B1'!N7,F71&amp;" NIET VOLLEDIG")</f>
        <v>B1 NIET VOLLEDIG</v>
      </c>
      <c r="G13" s="671" t="str">
        <f>IF(COUNT(G57)=1,'C1'!N7,G71&amp;" NIET VOLLEDIG")</f>
        <v>C1 NIET VOLLEDIG</v>
      </c>
      <c r="H13" s="671" t="str">
        <f>IF(COUNT(H57)=1,'D1'!N7,H71&amp;" NIET VOLLEDIG")</f>
        <v>D1 NIET VOLLEDIG</v>
      </c>
      <c r="I13" s="409"/>
      <c r="J13" s="409"/>
      <c r="K13" s="409"/>
      <c r="L13" s="409"/>
      <c r="M13" s="495"/>
      <c r="N13" s="401"/>
      <c r="O13" s="267"/>
      <c r="P13" s="267"/>
      <c r="Q13" s="267"/>
      <c r="R13" s="267"/>
      <c r="S13" s="267"/>
      <c r="T13" s="267"/>
      <c r="U13" s="267"/>
      <c r="V13" s="267"/>
      <c r="W13" s="288"/>
      <c r="Y13" s="275"/>
      <c r="Z13" s="357"/>
      <c r="AA13" s="20"/>
      <c r="AB13" s="20"/>
      <c r="AC13" s="20"/>
      <c r="AD13" s="20"/>
      <c r="AE13" s="20"/>
      <c r="AF13" s="20"/>
      <c r="AG13" s="20"/>
      <c r="AH13" s="20"/>
      <c r="AI13" s="20"/>
      <c r="AJ13" s="20"/>
      <c r="AK13" s="20"/>
      <c r="AL13" s="20"/>
      <c r="AM13" s="20"/>
      <c r="AN13" s="20"/>
      <c r="AO13" s="20"/>
      <c r="AP13" s="20"/>
      <c r="AQ13" s="20"/>
      <c r="AR13" s="289"/>
    </row>
    <row r="14" spans="2:44" ht="16.2" customHeight="1" x14ac:dyDescent="0.3">
      <c r="B14" s="424"/>
      <c r="C14" s="413" t="s">
        <v>29</v>
      </c>
      <c r="D14" s="671" t="str">
        <f>'invoer Basis'!N8</f>
        <v>verkenningsfase</v>
      </c>
      <c r="E14" s="671" t="str">
        <f>'A1'!N8</f>
        <v>verkenningsfase</v>
      </c>
      <c r="F14" s="671" t="str">
        <f>'B1'!N8</f>
        <v>verkenningsfase</v>
      </c>
      <c r="G14" s="671" t="str">
        <f>'C1'!N8</f>
        <v>verkenningsfase</v>
      </c>
      <c r="H14" s="671" t="str">
        <f>'D1'!N8</f>
        <v>verkenningsfase</v>
      </c>
      <c r="I14" s="307"/>
      <c r="J14" s="307"/>
      <c r="K14" s="307"/>
      <c r="L14" s="307"/>
      <c r="M14" s="496"/>
      <c r="N14" s="403"/>
      <c r="O14" s="20"/>
      <c r="P14" s="20"/>
      <c r="Q14" s="20"/>
      <c r="R14" s="20"/>
      <c r="S14" s="20"/>
      <c r="T14" s="20"/>
      <c r="U14" s="20"/>
      <c r="V14" s="20"/>
      <c r="W14" s="289"/>
      <c r="Y14" s="818"/>
      <c r="Z14" s="442">
        <f>'print Basis'!CJ8</f>
        <v>0</v>
      </c>
      <c r="AA14" s="54"/>
      <c r="AB14" s="470" t="s">
        <v>147</v>
      </c>
      <c r="AC14" s="20"/>
      <c r="AD14" s="20"/>
      <c r="AE14" s="471" t="s">
        <v>148</v>
      </c>
      <c r="AF14" s="472"/>
      <c r="AG14" s="472"/>
      <c r="AH14" s="472"/>
      <c r="AI14" s="472"/>
      <c r="AJ14" s="472"/>
      <c r="AK14" s="472"/>
      <c r="AL14" s="472"/>
      <c r="AM14" s="472"/>
      <c r="AN14" s="472"/>
      <c r="AO14" s="472"/>
      <c r="AP14" s="472"/>
      <c r="AQ14" s="472"/>
      <c r="AR14" s="819"/>
    </row>
    <row r="15" spans="2:44" ht="16.2" customHeight="1" x14ac:dyDescent="0.3">
      <c r="B15" s="424"/>
      <c r="C15" s="414" t="str">
        <f>'invoer Basis'!L23</f>
        <v>Voorkómen: niet doen wat echt niet hoeft</v>
      </c>
      <c r="D15" s="359"/>
      <c r="E15" s="359"/>
      <c r="F15" s="359"/>
      <c r="G15" s="359"/>
      <c r="H15" s="359"/>
      <c r="I15" s="359"/>
      <c r="J15" s="359"/>
      <c r="K15" s="359"/>
      <c r="L15" s="359"/>
      <c r="M15" s="497"/>
      <c r="N15" s="403"/>
      <c r="O15" s="20"/>
      <c r="P15" s="20"/>
      <c r="Q15" s="20"/>
      <c r="R15" s="20"/>
      <c r="S15" s="20"/>
      <c r="T15" s="20"/>
      <c r="U15" s="20"/>
      <c r="V15" s="20"/>
      <c r="W15" s="289"/>
      <c r="Y15" s="820"/>
      <c r="Z15" s="443" t="s">
        <v>45</v>
      </c>
      <c r="AA15" s="55"/>
      <c r="AB15" s="534" t="s">
        <v>149</v>
      </c>
      <c r="AC15" s="20"/>
      <c r="AD15" s="20"/>
      <c r="AE15" s="821"/>
      <c r="AF15" s="20"/>
      <c r="AG15" s="20"/>
      <c r="AH15" s="20"/>
      <c r="AI15" s="20"/>
      <c r="AJ15" s="20"/>
      <c r="AK15" s="20"/>
      <c r="AL15" s="20"/>
      <c r="AM15" s="20"/>
      <c r="AN15" s="20"/>
      <c r="AO15" s="20"/>
      <c r="AP15" s="20"/>
      <c r="AQ15" s="20"/>
      <c r="AR15" s="289"/>
    </row>
    <row r="16" spans="2:44" ht="16.2" customHeight="1" x14ac:dyDescent="0.35">
      <c r="B16" s="680"/>
      <c r="C16" s="415" t="str">
        <f>'invoer Basis'!L24</f>
        <v>verklein de omvang van de opgave. Wees kritisch t.a.v. eisen/uitgangspunten. Hergebruik materialen/elementen of een nieuwe/dubbelfunctie</v>
      </c>
      <c r="D16" s="678" t="str">
        <f>'invoer Basis'!AL24</f>
        <v>----</v>
      </c>
      <c r="E16" s="678" t="str">
        <f>'A1'!AL24</f>
        <v>----</v>
      </c>
      <c r="F16" s="678" t="str">
        <f>'B1'!AL24</f>
        <v>----</v>
      </c>
      <c r="G16" s="678" t="str">
        <f>'C1'!AL24</f>
        <v>----</v>
      </c>
      <c r="H16" s="678" t="str">
        <f>'D1'!AL24</f>
        <v>----</v>
      </c>
      <c r="I16" s="532"/>
      <c r="J16" s="532"/>
      <c r="K16" s="532"/>
      <c r="L16" s="532"/>
      <c r="M16" s="533"/>
      <c r="N16" s="403"/>
      <c r="O16" s="20"/>
      <c r="P16" s="20"/>
      <c r="Q16" s="20"/>
      <c r="R16" s="20"/>
      <c r="S16" s="20"/>
      <c r="T16" s="20"/>
      <c r="U16" s="20"/>
      <c r="V16" s="20"/>
      <c r="W16" s="289"/>
      <c r="Y16" s="822">
        <v>1</v>
      </c>
      <c r="Z16" s="444" t="s">
        <v>49</v>
      </c>
      <c r="AA16" s="103"/>
      <c r="AB16" s="535"/>
      <c r="AC16" s="20"/>
      <c r="AD16" s="20"/>
      <c r="AE16" s="20"/>
      <c r="AF16" s="20"/>
      <c r="AG16" s="20"/>
      <c r="AH16" s="20"/>
      <c r="AI16" s="20"/>
      <c r="AJ16" s="20"/>
      <c r="AK16" s="20"/>
      <c r="AL16" s="20"/>
      <c r="AM16" s="20"/>
      <c r="AN16" s="20"/>
      <c r="AO16" s="20"/>
      <c r="AP16" s="20"/>
      <c r="AQ16" s="20"/>
      <c r="AR16" s="289"/>
    </row>
    <row r="17" spans="1:44" ht="16.2" customHeight="1" x14ac:dyDescent="0.35">
      <c r="B17" s="424"/>
      <c r="C17" s="416" t="str">
        <f>'invoer Basis'!L25</f>
        <v>Verleng de levensduur van bestaande objecten of componenten</v>
      </c>
      <c r="D17" s="360"/>
      <c r="E17" s="360"/>
      <c r="F17" s="360"/>
      <c r="G17" s="360"/>
      <c r="H17" s="360"/>
      <c r="I17" s="360"/>
      <c r="J17" s="360"/>
      <c r="K17" s="360"/>
      <c r="L17" s="360"/>
      <c r="M17" s="498"/>
      <c r="N17" s="403"/>
      <c r="O17" s="20"/>
      <c r="P17" s="20"/>
      <c r="Q17" s="20"/>
      <c r="R17" s="20"/>
      <c r="S17" s="20"/>
      <c r="T17" s="20"/>
      <c r="U17" s="20"/>
      <c r="V17" s="20"/>
      <c r="W17" s="289"/>
      <c r="Y17" s="823" t="s">
        <v>60</v>
      </c>
      <c r="Z17" s="453" t="s">
        <v>61</v>
      </c>
      <c r="AA17" s="453"/>
      <c r="AB17" s="536" t="s">
        <v>187</v>
      </c>
      <c r="AC17" s="20"/>
      <c r="AD17" s="20"/>
      <c r="AE17" s="20"/>
      <c r="AF17" s="20"/>
      <c r="AG17" s="20"/>
      <c r="AH17" s="20"/>
      <c r="AI17" s="20"/>
      <c r="AJ17" s="20"/>
      <c r="AK17" s="20"/>
      <c r="AL17" s="20"/>
      <c r="AM17" s="20"/>
      <c r="AN17" s="20"/>
      <c r="AO17" s="20"/>
      <c r="AP17" s="20"/>
      <c r="AQ17" s="20"/>
      <c r="AR17" s="289"/>
    </row>
    <row r="18" spans="1:44" ht="16.2" customHeight="1" x14ac:dyDescent="0.35">
      <c r="B18" s="425"/>
      <c r="C18" s="415" t="str">
        <f>'invoer Basis'!L26</f>
        <v>mogelijkheden voor verlenging van de levensduur van bestaande objecten</v>
      </c>
      <c r="D18" s="678" t="str">
        <f>'invoer Basis'!AL26</f>
        <v>----</v>
      </c>
      <c r="E18" s="678" t="str">
        <f>'A1'!AL26</f>
        <v>----</v>
      </c>
      <c r="F18" s="678" t="str">
        <f>'B1'!AL26</f>
        <v>----</v>
      </c>
      <c r="G18" s="678" t="str">
        <f>'C1'!AL26</f>
        <v>----</v>
      </c>
      <c r="H18" s="678" t="str">
        <f>'D1'!AL26</f>
        <v>----</v>
      </c>
      <c r="I18" s="532"/>
      <c r="J18" s="532"/>
      <c r="K18" s="532"/>
      <c r="L18" s="532"/>
      <c r="M18" s="533"/>
      <c r="N18" s="403"/>
      <c r="O18" s="20"/>
      <c r="P18" s="20"/>
      <c r="Q18" s="20"/>
      <c r="R18" s="20"/>
      <c r="S18" s="20"/>
      <c r="T18" s="20"/>
      <c r="U18" s="20"/>
      <c r="V18" s="20"/>
      <c r="W18" s="289"/>
      <c r="Y18" s="824">
        <v>2</v>
      </c>
      <c r="Z18" s="445" t="s">
        <v>65</v>
      </c>
      <c r="AA18" s="91"/>
      <c r="AB18" s="537"/>
      <c r="AC18" s="20"/>
      <c r="AD18" s="20"/>
      <c r="AE18" s="20"/>
      <c r="AF18" s="20"/>
      <c r="AG18" s="20"/>
      <c r="AH18" s="20"/>
      <c r="AI18" s="20"/>
      <c r="AJ18" s="20"/>
      <c r="AK18" s="20"/>
      <c r="AL18" s="20"/>
      <c r="AM18" s="20"/>
      <c r="AN18" s="20"/>
      <c r="AO18" s="20"/>
      <c r="AP18" s="20"/>
      <c r="AQ18" s="20"/>
      <c r="AR18" s="289"/>
    </row>
    <row r="19" spans="1:44" ht="16.2" customHeight="1" x14ac:dyDescent="0.35">
      <c r="B19" s="424"/>
      <c r="C19" s="417" t="str">
        <f>'invoer Basis'!L27</f>
        <v>Duurzaam gebruik van bestaande objecten, materialen, grondstoffen en natuurlijke processen</v>
      </c>
      <c r="D19" s="361"/>
      <c r="E19" s="361"/>
      <c r="F19" s="361"/>
      <c r="G19" s="361"/>
      <c r="H19" s="361"/>
      <c r="I19" s="361"/>
      <c r="J19" s="361"/>
      <c r="K19" s="361"/>
      <c r="L19" s="361"/>
      <c r="M19" s="499"/>
      <c r="N19" s="403"/>
      <c r="O19" s="20"/>
      <c r="P19" s="20"/>
      <c r="Q19" s="20"/>
      <c r="R19" s="20"/>
      <c r="S19" s="20"/>
      <c r="T19" s="20"/>
      <c r="U19" s="20"/>
      <c r="V19" s="20"/>
      <c r="W19" s="289"/>
      <c r="Y19" s="823" t="s">
        <v>60</v>
      </c>
      <c r="Z19" s="453" t="s">
        <v>68</v>
      </c>
      <c r="AA19" s="453"/>
      <c r="AB19" s="536" t="s">
        <v>69</v>
      </c>
      <c r="AC19" s="20"/>
      <c r="AD19" s="20"/>
      <c r="AE19" s="20"/>
      <c r="AF19" s="20"/>
      <c r="AG19" s="20"/>
      <c r="AH19" s="20"/>
      <c r="AI19" s="20"/>
      <c r="AJ19" s="20"/>
      <c r="AK19" s="20"/>
      <c r="AL19" s="20"/>
      <c r="AM19" s="20"/>
      <c r="AN19" s="20"/>
      <c r="AO19" s="20"/>
      <c r="AP19" s="20"/>
      <c r="AQ19" s="20"/>
      <c r="AR19" s="289"/>
    </row>
    <row r="20" spans="1:44" ht="16.2" customHeight="1" x14ac:dyDescent="0.35">
      <c r="B20" s="426"/>
      <c r="C20" s="415" t="str">
        <f>'invoer Basis'!L28</f>
        <v>restwaarde voor hergebruik bepalen van bestaande objecten, componenten en materialen</v>
      </c>
      <c r="D20" s="678" t="str">
        <f>'invoer Basis'!AL28</f>
        <v>----</v>
      </c>
      <c r="E20" s="678" t="str">
        <f>'A1'!AL28</f>
        <v>----</v>
      </c>
      <c r="F20" s="678" t="str">
        <f>'B1'!AL28</f>
        <v>----</v>
      </c>
      <c r="G20" s="678" t="str">
        <f>'C1'!AL28</f>
        <v>----</v>
      </c>
      <c r="H20" s="678" t="str">
        <f>'D1'!AL28</f>
        <v>----</v>
      </c>
      <c r="I20" s="532"/>
      <c r="J20" s="532"/>
      <c r="K20" s="532"/>
      <c r="L20" s="532"/>
      <c r="M20" s="533"/>
      <c r="N20" s="403"/>
      <c r="O20" s="20"/>
      <c r="P20" s="20"/>
      <c r="Q20" s="20"/>
      <c r="R20" s="20"/>
      <c r="S20" s="20"/>
      <c r="T20" s="20"/>
      <c r="U20" s="20"/>
      <c r="V20" s="20"/>
      <c r="W20" s="289"/>
      <c r="Y20" s="825">
        <v>3</v>
      </c>
      <c r="Z20" s="446" t="s">
        <v>72</v>
      </c>
      <c r="AA20" s="57"/>
      <c r="AB20" s="538"/>
      <c r="AC20" s="20"/>
      <c r="AD20" s="20"/>
      <c r="AE20" s="20"/>
      <c r="AF20" s="20"/>
      <c r="AG20" s="20"/>
      <c r="AH20" s="20"/>
      <c r="AI20" s="20"/>
      <c r="AJ20" s="20"/>
      <c r="AK20" s="20"/>
      <c r="AL20" s="20"/>
      <c r="AM20" s="20"/>
      <c r="AN20" s="20"/>
      <c r="AO20" s="20"/>
      <c r="AP20" s="20"/>
      <c r="AQ20" s="20"/>
      <c r="AR20" s="289"/>
    </row>
    <row r="21" spans="1:44" ht="16.2" customHeight="1" x14ac:dyDescent="0.35">
      <c r="B21" s="427"/>
      <c r="C21" s="415" t="str">
        <f>'invoer Basis'!L29</f>
        <v>gebruik van materialen(data)banken</v>
      </c>
      <c r="D21" s="678" t="str">
        <f>'invoer Basis'!AL29</f>
        <v>----</v>
      </c>
      <c r="E21" s="678" t="str">
        <f>'A1'!AL29</f>
        <v>----</v>
      </c>
      <c r="F21" s="678" t="str">
        <f>'B1'!AL29</f>
        <v>----</v>
      </c>
      <c r="G21" s="678" t="str">
        <f>'C1'!AL29</f>
        <v>----</v>
      </c>
      <c r="H21" s="678" t="str">
        <f>'D1'!AL29</f>
        <v>----</v>
      </c>
      <c r="I21" s="532"/>
      <c r="J21" s="532"/>
      <c r="K21" s="532"/>
      <c r="L21" s="532"/>
      <c r="M21" s="533"/>
      <c r="N21" s="403"/>
      <c r="O21" s="20"/>
      <c r="P21" s="20"/>
      <c r="Q21" s="20"/>
      <c r="R21" s="20"/>
      <c r="S21" s="20"/>
      <c r="T21" s="20"/>
      <c r="U21" s="20"/>
      <c r="V21" s="20"/>
      <c r="W21" s="289"/>
      <c r="Y21" s="823" t="s">
        <v>60</v>
      </c>
      <c r="Z21" s="453" t="s">
        <v>75</v>
      </c>
      <c r="AA21" s="453"/>
      <c r="AB21" s="536" t="s">
        <v>76</v>
      </c>
      <c r="AC21" s="20"/>
      <c r="AD21" s="20"/>
      <c r="AE21" s="20"/>
      <c r="AF21" s="20"/>
      <c r="AG21" s="20"/>
      <c r="AH21" s="20"/>
      <c r="AI21" s="20"/>
      <c r="AJ21" s="20"/>
      <c r="AK21" s="20"/>
      <c r="AL21" s="20"/>
      <c r="AM21" s="20"/>
      <c r="AN21" s="20"/>
      <c r="AO21" s="20"/>
      <c r="AP21" s="20"/>
      <c r="AQ21" s="20"/>
      <c r="AR21" s="289"/>
    </row>
    <row r="22" spans="1:44" ht="16.2" customHeight="1" x14ac:dyDescent="0.35">
      <c r="B22" s="428"/>
      <c r="C22" s="415" t="str">
        <f>'invoer Basis'!L30</f>
        <v>(potentiële kansen voor) inzet van aanwezige natuurlijke processen</v>
      </c>
      <c r="D22" s="678" t="str">
        <f>'invoer Basis'!AL30</f>
        <v>----</v>
      </c>
      <c r="E22" s="678" t="str">
        <f>'A1'!AL30</f>
        <v>----</v>
      </c>
      <c r="F22" s="678" t="str">
        <f>'B1'!AL30</f>
        <v>----</v>
      </c>
      <c r="G22" s="678" t="str">
        <f>'C1'!AL30</f>
        <v>----</v>
      </c>
      <c r="H22" s="678" t="str">
        <f>'D1'!AL30</f>
        <v>----</v>
      </c>
      <c r="I22" s="532"/>
      <c r="J22" s="532"/>
      <c r="K22" s="532"/>
      <c r="L22" s="532"/>
      <c r="M22" s="533"/>
      <c r="N22" s="403"/>
      <c r="O22" s="20"/>
      <c r="P22" s="20"/>
      <c r="Q22" s="20"/>
      <c r="R22" s="20"/>
      <c r="S22" s="20"/>
      <c r="T22" s="20"/>
      <c r="U22" s="20"/>
      <c r="V22" s="20"/>
      <c r="W22" s="289"/>
      <c r="Y22" s="823" t="s">
        <v>73</v>
      </c>
      <c r="Z22" s="453" t="s">
        <v>79</v>
      </c>
      <c r="AA22" s="453"/>
      <c r="AB22" s="536" t="s">
        <v>80</v>
      </c>
      <c r="AC22" s="20"/>
      <c r="AD22" s="20"/>
      <c r="AE22" s="20"/>
      <c r="AF22" s="20"/>
      <c r="AG22" s="20"/>
      <c r="AH22" s="20"/>
      <c r="AI22" s="20"/>
      <c r="AJ22" s="20"/>
      <c r="AK22" s="20"/>
      <c r="AL22" s="20"/>
      <c r="AM22" s="20"/>
      <c r="AN22" s="20"/>
      <c r="AO22" s="20"/>
      <c r="AP22" s="20"/>
      <c r="AQ22" s="20"/>
      <c r="AR22" s="289"/>
    </row>
    <row r="23" spans="1:44" ht="16.2" customHeight="1" x14ac:dyDescent="0.35">
      <c r="B23" s="424"/>
      <c r="C23" s="418" t="str">
        <f>'invoer Basis'!L31</f>
        <v>Ontwerp voor meerdere levenscycli</v>
      </c>
      <c r="D23" s="362"/>
      <c r="E23" s="362"/>
      <c r="F23" s="362"/>
      <c r="G23" s="362"/>
      <c r="H23" s="362"/>
      <c r="I23" s="362"/>
      <c r="J23" s="362"/>
      <c r="K23" s="362"/>
      <c r="L23" s="362"/>
      <c r="M23" s="500"/>
      <c r="N23" s="403"/>
      <c r="O23" s="20"/>
      <c r="P23" s="20"/>
      <c r="Q23" s="20"/>
      <c r="R23" s="20"/>
      <c r="S23" s="20"/>
      <c r="T23" s="20"/>
      <c r="U23" s="20"/>
      <c r="V23" s="20"/>
      <c r="W23" s="289"/>
      <c r="Y23" s="823" t="s">
        <v>77</v>
      </c>
      <c r="Z23" s="453" t="s">
        <v>83</v>
      </c>
      <c r="AA23" s="453"/>
      <c r="AB23" s="536" t="s">
        <v>153</v>
      </c>
      <c r="AC23" s="20"/>
      <c r="AD23" s="20"/>
      <c r="AE23" s="20"/>
      <c r="AF23" s="20"/>
      <c r="AG23" s="20"/>
      <c r="AH23" s="20"/>
      <c r="AI23" s="20"/>
      <c r="AJ23" s="20"/>
      <c r="AK23" s="20"/>
      <c r="AL23" s="20"/>
      <c r="AM23" s="20"/>
      <c r="AN23" s="20"/>
      <c r="AO23" s="20"/>
      <c r="AP23" s="20"/>
      <c r="AQ23" s="20"/>
      <c r="AR23" s="289"/>
    </row>
    <row r="24" spans="1:44" ht="16.2" customHeight="1" x14ac:dyDescent="0.35">
      <c r="A24" s="5"/>
      <c r="B24" s="429"/>
      <c r="C24" s="415" t="str">
        <f>'invoer Basis'!L32</f>
        <v>herbruikbaarheid van materialen/elementen (na einde levensduur)  in ontwerp</v>
      </c>
      <c r="D24" s="678" t="str">
        <f>'invoer Basis'!AL32</f>
        <v>----</v>
      </c>
      <c r="E24" s="678" t="str">
        <f>'A1'!AL32</f>
        <v>----</v>
      </c>
      <c r="F24" s="678" t="str">
        <f>'B1'!AL32</f>
        <v>----</v>
      </c>
      <c r="G24" s="678" t="str">
        <f>'C1'!AL32</f>
        <v>----</v>
      </c>
      <c r="H24" s="678" t="str">
        <f>'D1'!AL32</f>
        <v>----</v>
      </c>
      <c r="I24" s="532"/>
      <c r="J24" s="532"/>
      <c r="K24" s="532"/>
      <c r="L24" s="532"/>
      <c r="M24" s="533"/>
      <c r="N24" s="403"/>
      <c r="O24" s="20"/>
      <c r="P24" s="20"/>
      <c r="Q24" s="20"/>
      <c r="R24" s="20"/>
      <c r="S24" s="20"/>
      <c r="T24" s="20"/>
      <c r="U24" s="20"/>
      <c r="V24" s="20"/>
      <c r="W24" s="289"/>
      <c r="Y24" s="826">
        <v>4</v>
      </c>
      <c r="Z24" s="447" t="s">
        <v>86</v>
      </c>
      <c r="AA24" s="41"/>
      <c r="AB24" s="539"/>
      <c r="AC24" s="20"/>
      <c r="AD24" s="20"/>
      <c r="AE24" s="20"/>
      <c r="AF24" s="20"/>
      <c r="AG24" s="20"/>
      <c r="AH24" s="20"/>
      <c r="AI24" s="20"/>
      <c r="AJ24" s="20"/>
      <c r="AK24" s="20"/>
      <c r="AL24" s="20"/>
      <c r="AM24" s="20"/>
      <c r="AN24" s="20"/>
      <c r="AO24" s="20"/>
      <c r="AP24" s="20"/>
      <c r="AQ24" s="20"/>
      <c r="AR24" s="289"/>
    </row>
    <row r="25" spans="1:44" ht="16.2" customHeight="1" x14ac:dyDescent="0.35">
      <c r="A25" s="5"/>
      <c r="B25" s="430"/>
      <c r="C25" s="415" t="str">
        <f>'invoer Basis'!L33</f>
        <v>materialenpaspoort</v>
      </c>
      <c r="D25" s="678" t="str">
        <f>'invoer Basis'!AL33</f>
        <v>----</v>
      </c>
      <c r="E25" s="678" t="str">
        <f>'A1'!AL33</f>
        <v>----</v>
      </c>
      <c r="F25" s="678" t="str">
        <f>'B1'!AL33</f>
        <v>----</v>
      </c>
      <c r="G25" s="678" t="str">
        <f>'C1'!AL33</f>
        <v>----</v>
      </c>
      <c r="H25" s="678" t="str">
        <f>'D1'!AL33</f>
        <v>----</v>
      </c>
      <c r="I25" s="532"/>
      <c r="J25" s="532"/>
      <c r="K25" s="532"/>
      <c r="L25" s="532"/>
      <c r="M25" s="533"/>
      <c r="N25" s="403"/>
      <c r="O25" s="20"/>
      <c r="P25" s="20"/>
      <c r="Q25" s="20"/>
      <c r="R25" s="20"/>
      <c r="S25" s="20"/>
      <c r="T25" s="20"/>
      <c r="U25" s="20"/>
      <c r="V25" s="20"/>
      <c r="W25" s="289"/>
      <c r="Y25" s="823" t="s">
        <v>60</v>
      </c>
      <c r="Z25" s="453" t="s">
        <v>89</v>
      </c>
      <c r="AA25" s="453"/>
      <c r="AB25" s="536" t="s">
        <v>154</v>
      </c>
      <c r="AC25" s="20"/>
      <c r="AD25" s="20"/>
      <c r="AE25" s="20"/>
      <c r="AF25" s="20"/>
      <c r="AG25" s="20"/>
      <c r="AH25" s="20"/>
      <c r="AI25" s="20"/>
      <c r="AJ25" s="20"/>
      <c r="AK25" s="20"/>
      <c r="AL25" s="20"/>
      <c r="AM25" s="20"/>
      <c r="AN25" s="20"/>
      <c r="AO25" s="20"/>
      <c r="AP25" s="20"/>
      <c r="AQ25" s="20"/>
      <c r="AR25" s="289"/>
    </row>
    <row r="26" spans="1:44" ht="16.2" customHeight="1" x14ac:dyDescent="0.35">
      <c r="A26" s="5"/>
      <c r="B26" s="424"/>
      <c r="C26" s="419" t="str">
        <f>'invoer Basis'!L34</f>
        <v>Ontwerp toekomstbestendig</v>
      </c>
      <c r="D26" s="363"/>
      <c r="E26" s="363"/>
      <c r="F26" s="363"/>
      <c r="G26" s="363"/>
      <c r="H26" s="363"/>
      <c r="I26" s="363"/>
      <c r="J26" s="363"/>
      <c r="K26" s="363"/>
      <c r="L26" s="363"/>
      <c r="M26" s="501"/>
      <c r="N26" s="403"/>
      <c r="O26" s="20"/>
      <c r="P26" s="20"/>
      <c r="Q26" s="20"/>
      <c r="R26" s="20"/>
      <c r="S26" s="20"/>
      <c r="T26" s="20"/>
      <c r="U26" s="20"/>
      <c r="V26" s="20"/>
      <c r="W26" s="289"/>
      <c r="Y26" s="823" t="s">
        <v>73</v>
      </c>
      <c r="Z26" s="453" t="s">
        <v>85</v>
      </c>
      <c r="AA26" s="453"/>
      <c r="AB26" s="536" t="s">
        <v>92</v>
      </c>
      <c r="AC26" s="20"/>
      <c r="AD26" s="20"/>
      <c r="AE26" s="20"/>
      <c r="AF26" s="20"/>
      <c r="AG26" s="20"/>
      <c r="AH26" s="20"/>
      <c r="AI26" s="20"/>
      <c r="AJ26" s="20"/>
      <c r="AK26" s="20"/>
      <c r="AL26" s="20"/>
      <c r="AM26" s="20"/>
      <c r="AN26" s="20"/>
      <c r="AO26" s="20"/>
      <c r="AP26" s="20"/>
      <c r="AQ26" s="20"/>
      <c r="AR26" s="289"/>
    </row>
    <row r="27" spans="1:44" ht="16.2" customHeight="1" x14ac:dyDescent="0.35">
      <c r="A27" s="5"/>
      <c r="B27" s="431"/>
      <c r="C27" s="415" t="str">
        <f>'invoer Basis'!L35</f>
        <v>adaptief en toekomstgericht. Betrek omgeving bij planvorming</v>
      </c>
      <c r="D27" s="678" t="str">
        <f>'invoer Basis'!AL35</f>
        <v>----</v>
      </c>
      <c r="E27" s="678" t="str">
        <f>'A1'!AL35</f>
        <v>----</v>
      </c>
      <c r="F27" s="678" t="str">
        <f>'B1'!AL35</f>
        <v>----</v>
      </c>
      <c r="G27" s="678" t="str">
        <f>'C1'!AL35</f>
        <v>----</v>
      </c>
      <c r="H27" s="678" t="str">
        <f>'D1'!AL35</f>
        <v>----</v>
      </c>
      <c r="I27" s="532"/>
      <c r="J27" s="532"/>
      <c r="K27" s="532"/>
      <c r="L27" s="532"/>
      <c r="M27" s="533"/>
      <c r="N27" s="403"/>
      <c r="O27" s="20"/>
      <c r="P27" s="20"/>
      <c r="Q27" s="20"/>
      <c r="R27" s="20"/>
      <c r="S27" s="20"/>
      <c r="T27" s="20"/>
      <c r="U27" s="20"/>
      <c r="V27" s="20"/>
      <c r="W27" s="289"/>
      <c r="Y27" s="827">
        <v>5</v>
      </c>
      <c r="Z27" s="448" t="s">
        <v>96</v>
      </c>
      <c r="AA27" s="101"/>
      <c r="AB27" s="540"/>
      <c r="AC27" s="20"/>
      <c r="AD27" s="20"/>
      <c r="AE27" s="20"/>
      <c r="AF27" s="20"/>
      <c r="AG27" s="20"/>
      <c r="AH27" s="20"/>
      <c r="AI27" s="20"/>
      <c r="AJ27" s="20"/>
      <c r="AK27" s="20"/>
      <c r="AL27" s="20"/>
      <c r="AM27" s="20"/>
      <c r="AN27" s="20"/>
      <c r="AO27" s="20"/>
      <c r="AP27" s="20"/>
      <c r="AQ27" s="20"/>
      <c r="AR27" s="289"/>
    </row>
    <row r="28" spans="1:44" ht="16.2" customHeight="1" x14ac:dyDescent="0.35">
      <c r="A28" s="5"/>
      <c r="B28" s="432"/>
      <c r="C28" s="420" t="str">
        <f>'invoer Basis'!L36</f>
        <v xml:space="preserve">Ontwerp voor optimaal beheer en onderhoud </v>
      </c>
      <c r="D28" s="364"/>
      <c r="E28" s="364"/>
      <c r="F28" s="364"/>
      <c r="G28" s="364"/>
      <c r="H28" s="364"/>
      <c r="I28" s="364"/>
      <c r="J28" s="364"/>
      <c r="K28" s="364"/>
      <c r="L28" s="364"/>
      <c r="M28" s="502"/>
      <c r="N28" s="403"/>
      <c r="O28" s="20"/>
      <c r="P28" s="20"/>
      <c r="Q28" s="20"/>
      <c r="R28" s="20"/>
      <c r="S28" s="20"/>
      <c r="T28" s="20"/>
      <c r="U28" s="20"/>
      <c r="V28" s="20"/>
      <c r="W28" s="289"/>
      <c r="Y28" s="823" t="s">
        <v>60</v>
      </c>
      <c r="Z28" s="453" t="s">
        <v>98</v>
      </c>
      <c r="AA28" s="453"/>
      <c r="AB28" s="536" t="s">
        <v>155</v>
      </c>
      <c r="AC28" s="20"/>
      <c r="AD28" s="20"/>
      <c r="AE28" s="20"/>
      <c r="AF28" s="20"/>
      <c r="AG28" s="20"/>
      <c r="AH28" s="20"/>
      <c r="AI28" s="20"/>
      <c r="AJ28" s="20"/>
      <c r="AK28" s="20"/>
      <c r="AL28" s="20"/>
      <c r="AM28" s="20"/>
      <c r="AN28" s="20"/>
      <c r="AO28" s="20"/>
      <c r="AP28" s="20"/>
      <c r="AQ28" s="20"/>
      <c r="AR28" s="289"/>
    </row>
    <row r="29" spans="1:44" ht="16.2" customHeight="1" x14ac:dyDescent="0.35">
      <c r="A29" s="5"/>
      <c r="B29" s="433"/>
      <c r="C29" s="415" t="str">
        <f>'invoer Basis'!L37</f>
        <v>beheer- en onderhoudsaspecten</v>
      </c>
      <c r="D29" s="678" t="str">
        <f>'invoer Basis'!AL37</f>
        <v>----</v>
      </c>
      <c r="E29" s="678" t="str">
        <f>'A1'!AL37</f>
        <v>----</v>
      </c>
      <c r="F29" s="678" t="str">
        <f>'B1'!AL37</f>
        <v>----</v>
      </c>
      <c r="G29" s="678" t="str">
        <f>'C1'!AL37</f>
        <v>----</v>
      </c>
      <c r="H29" s="678" t="str">
        <f>'D1'!AL37</f>
        <v>----</v>
      </c>
      <c r="I29" s="532"/>
      <c r="J29" s="532"/>
      <c r="K29" s="532"/>
      <c r="L29" s="532"/>
      <c r="M29" s="533"/>
      <c r="N29" s="403"/>
      <c r="O29" s="20"/>
      <c r="P29" s="20"/>
      <c r="Q29" s="20"/>
      <c r="R29" s="20"/>
      <c r="S29" s="20"/>
      <c r="T29" s="20"/>
      <c r="U29" s="20"/>
      <c r="V29" s="20"/>
      <c r="W29" s="289"/>
      <c r="Y29" s="828">
        <v>6</v>
      </c>
      <c r="Z29" s="449" t="s">
        <v>102</v>
      </c>
      <c r="AA29" s="42"/>
      <c r="AB29" s="541"/>
      <c r="AC29" s="20"/>
      <c r="AD29" s="20"/>
      <c r="AE29" s="20"/>
      <c r="AF29" s="20"/>
      <c r="AG29" s="20"/>
      <c r="AH29" s="20"/>
      <c r="AI29" s="20"/>
      <c r="AJ29" s="20"/>
      <c r="AK29" s="20"/>
      <c r="AL29" s="20"/>
      <c r="AM29" s="20"/>
      <c r="AN29" s="20"/>
      <c r="AO29" s="20"/>
      <c r="AP29" s="20"/>
      <c r="AQ29" s="20"/>
      <c r="AR29" s="289"/>
    </row>
    <row r="30" spans="1:44" ht="16.2" customHeight="1" x14ac:dyDescent="0.35">
      <c r="A30" s="5"/>
      <c r="B30" s="432"/>
      <c r="C30" s="421" t="str">
        <f>'invoer Basis'!L38</f>
        <v>Duurzaam materiaalgebruik (hoeveel x milieubelasting)</v>
      </c>
      <c r="D30" s="365"/>
      <c r="E30" s="365"/>
      <c r="F30" s="365"/>
      <c r="G30" s="365"/>
      <c r="H30" s="365"/>
      <c r="I30" s="365"/>
      <c r="J30" s="365"/>
      <c r="K30" s="365"/>
      <c r="L30" s="365"/>
      <c r="M30" s="503"/>
      <c r="N30" s="403"/>
      <c r="O30" s="20"/>
      <c r="P30" s="20"/>
      <c r="Q30" s="20"/>
      <c r="R30" s="20"/>
      <c r="S30" s="20"/>
      <c r="T30" s="20"/>
      <c r="U30" s="20"/>
      <c r="V30" s="20"/>
      <c r="W30" s="289"/>
      <c r="Y30" s="823" t="s">
        <v>60</v>
      </c>
      <c r="Z30" s="453" t="s">
        <v>104</v>
      </c>
      <c r="AA30" s="453"/>
      <c r="AB30" s="536" t="s">
        <v>156</v>
      </c>
      <c r="AC30" s="20"/>
      <c r="AD30" s="20"/>
      <c r="AE30" s="20"/>
      <c r="AF30" s="20"/>
      <c r="AG30" s="20"/>
      <c r="AH30" s="20"/>
      <c r="AI30" s="20"/>
      <c r="AJ30" s="20"/>
      <c r="AK30" s="20"/>
      <c r="AL30" s="20"/>
      <c r="AM30" s="20"/>
      <c r="AN30" s="20"/>
      <c r="AO30" s="20"/>
      <c r="AP30" s="20"/>
      <c r="AQ30" s="20"/>
      <c r="AR30" s="289"/>
    </row>
    <row r="31" spans="1:44" ht="16.2" customHeight="1" x14ac:dyDescent="0.35">
      <c r="A31" s="5"/>
      <c r="B31" s="434"/>
      <c r="C31" s="415" t="str">
        <f>'invoer Basis'!L39</f>
        <v>Milieuimpact</v>
      </c>
      <c r="D31" s="678" t="str">
        <f>'invoer Basis'!AL39</f>
        <v>----</v>
      </c>
      <c r="E31" s="678" t="str">
        <f>'A1'!AL39</f>
        <v>----</v>
      </c>
      <c r="F31" s="678" t="str">
        <f>'B1'!AL39</f>
        <v>----</v>
      </c>
      <c r="G31" s="678" t="str">
        <f>'C1'!AL39</f>
        <v>----</v>
      </c>
      <c r="H31" s="678" t="str">
        <f>'D1'!AL39</f>
        <v>----</v>
      </c>
      <c r="I31" s="532"/>
      <c r="J31" s="532"/>
      <c r="K31" s="532"/>
      <c r="L31" s="532"/>
      <c r="M31" s="533"/>
      <c r="N31" s="403"/>
      <c r="O31" s="20"/>
      <c r="P31" s="20"/>
      <c r="Q31" s="20"/>
      <c r="R31" s="20"/>
      <c r="S31" s="20"/>
      <c r="T31" s="20"/>
      <c r="U31" s="20"/>
      <c r="V31" s="20"/>
      <c r="W31" s="289"/>
      <c r="Y31" s="829">
        <v>7</v>
      </c>
      <c r="Z31" s="450" t="s">
        <v>107</v>
      </c>
      <c r="AA31" s="52"/>
      <c r="AB31" s="542"/>
      <c r="AC31" s="20"/>
      <c r="AD31" s="20"/>
      <c r="AE31" s="20"/>
      <c r="AF31" s="20"/>
      <c r="AG31" s="20"/>
      <c r="AH31" s="20"/>
      <c r="AI31" s="20"/>
      <c r="AJ31" s="20"/>
      <c r="AK31" s="20"/>
      <c r="AL31" s="20"/>
      <c r="AM31" s="20"/>
      <c r="AN31" s="20"/>
      <c r="AO31" s="20"/>
      <c r="AP31" s="20"/>
      <c r="AQ31" s="20"/>
      <c r="AR31" s="289"/>
    </row>
    <row r="32" spans="1:44" ht="16.2" customHeight="1" x14ac:dyDescent="0.35">
      <c r="A32" s="5"/>
      <c r="B32" s="435"/>
      <c r="C32" s="415" t="str">
        <f>'invoer Basis'!L40</f>
        <v>Circulariteit</v>
      </c>
      <c r="D32" s="678" t="str">
        <f>'invoer Basis'!AL40</f>
        <v>----</v>
      </c>
      <c r="E32" s="678" t="str">
        <f>'A1'!AL40</f>
        <v>----</v>
      </c>
      <c r="F32" s="678" t="str">
        <f>'B1'!AL40</f>
        <v>----</v>
      </c>
      <c r="G32" s="678" t="str">
        <f>'C1'!AL40</f>
        <v>----</v>
      </c>
      <c r="H32" s="678" t="str">
        <f>'D1'!AL40</f>
        <v>----</v>
      </c>
      <c r="I32" s="532"/>
      <c r="J32" s="532"/>
      <c r="K32" s="532"/>
      <c r="L32" s="532"/>
      <c r="M32" s="533"/>
      <c r="N32" s="403"/>
      <c r="O32" s="20"/>
      <c r="P32" s="20"/>
      <c r="Q32" s="20"/>
      <c r="R32" s="20"/>
      <c r="S32" s="20"/>
      <c r="T32" s="20"/>
      <c r="U32" s="20"/>
      <c r="V32" s="20"/>
      <c r="W32" s="289"/>
      <c r="Y32" s="823" t="s">
        <v>60</v>
      </c>
      <c r="Z32" s="453" t="s">
        <v>108</v>
      </c>
      <c r="AA32" s="453"/>
      <c r="AB32" s="536" t="s">
        <v>157</v>
      </c>
      <c r="AC32" s="20"/>
      <c r="AD32" s="20"/>
      <c r="AE32" s="20"/>
      <c r="AF32" s="20"/>
      <c r="AG32" s="20"/>
      <c r="AH32" s="20"/>
      <c r="AI32" s="20"/>
      <c r="AJ32" s="20"/>
      <c r="AK32" s="20"/>
      <c r="AL32" s="20"/>
      <c r="AM32" s="20"/>
      <c r="AN32" s="20"/>
      <c r="AO32" s="20"/>
      <c r="AP32" s="20"/>
      <c r="AQ32" s="20"/>
      <c r="AR32" s="289"/>
    </row>
    <row r="33" spans="1:44" ht="16.2" customHeight="1" x14ac:dyDescent="0.35">
      <c r="A33" s="5"/>
      <c r="B33" s="432"/>
      <c r="C33" s="422" t="str">
        <f>'invoer Basis'!L41</f>
        <v>Ontwerp voor minimaal grondstof- en energiegebruik in de aanleg/gebruiksfase</v>
      </c>
      <c r="D33" s="366"/>
      <c r="E33" s="366"/>
      <c r="F33" s="366"/>
      <c r="G33" s="366"/>
      <c r="H33" s="366"/>
      <c r="I33" s="366"/>
      <c r="J33" s="366"/>
      <c r="K33" s="366"/>
      <c r="L33" s="366"/>
      <c r="M33" s="504"/>
      <c r="N33" s="403"/>
      <c r="O33" s="20"/>
      <c r="P33" s="20"/>
      <c r="Q33" s="20"/>
      <c r="R33" s="20"/>
      <c r="S33" s="20"/>
      <c r="T33" s="20"/>
      <c r="U33" s="20"/>
      <c r="V33" s="20"/>
      <c r="W33" s="289"/>
      <c r="Y33" s="823" t="s">
        <v>73</v>
      </c>
      <c r="Z33" s="453" t="s">
        <v>110</v>
      </c>
      <c r="AA33" s="453"/>
      <c r="AB33" s="536" t="s">
        <v>158</v>
      </c>
      <c r="AC33" s="20"/>
      <c r="AD33" s="20"/>
      <c r="AE33" s="20"/>
      <c r="AF33" s="20"/>
      <c r="AG33" s="20"/>
      <c r="AH33" s="20"/>
      <c r="AI33" s="20"/>
      <c r="AJ33" s="20"/>
      <c r="AK33" s="20"/>
      <c r="AL33" s="20"/>
      <c r="AM33" s="20"/>
      <c r="AN33" s="20"/>
      <c r="AO33" s="20"/>
      <c r="AP33" s="20"/>
      <c r="AQ33" s="20"/>
      <c r="AR33" s="289"/>
    </row>
    <row r="34" spans="1:44" ht="16.2" customHeight="1" x14ac:dyDescent="0.35">
      <c r="A34" s="5"/>
      <c r="B34" s="436"/>
      <c r="C34" s="415" t="str">
        <f>'invoer Basis'!L42</f>
        <v>CO2 impact materialen en energiegebruik</v>
      </c>
      <c r="D34" s="678" t="str">
        <f>'invoer Basis'!AL42</f>
        <v>----</v>
      </c>
      <c r="E34" s="678" t="str">
        <f>'A1'!AL42</f>
        <v>----</v>
      </c>
      <c r="F34" s="678" t="str">
        <f>'B1'!AL42</f>
        <v>----</v>
      </c>
      <c r="G34" s="678" t="str">
        <f>'C1'!AL42</f>
        <v>----</v>
      </c>
      <c r="H34" s="678" t="str">
        <f>'D1'!AL42</f>
        <v>----</v>
      </c>
      <c r="I34" s="532"/>
      <c r="J34" s="532"/>
      <c r="K34" s="532"/>
      <c r="L34" s="532"/>
      <c r="M34" s="533"/>
      <c r="N34" s="403"/>
      <c r="O34" s="20"/>
      <c r="P34" s="20"/>
      <c r="Q34" s="20"/>
      <c r="R34" s="20"/>
      <c r="S34" s="20"/>
      <c r="T34" s="20"/>
      <c r="U34" s="20"/>
      <c r="V34" s="20"/>
      <c r="W34" s="289"/>
      <c r="Y34" s="830">
        <v>8</v>
      </c>
      <c r="Z34" s="451" t="s">
        <v>111</v>
      </c>
      <c r="AA34" s="43"/>
      <c r="AB34" s="543"/>
      <c r="AC34" s="20"/>
      <c r="AD34" s="20"/>
      <c r="AE34" s="20"/>
      <c r="AF34" s="20"/>
      <c r="AG34" s="20"/>
      <c r="AH34" s="20"/>
      <c r="AI34" s="20"/>
      <c r="AJ34" s="20"/>
      <c r="AK34" s="20"/>
      <c r="AL34" s="20"/>
      <c r="AM34" s="20"/>
      <c r="AN34" s="20"/>
      <c r="AO34" s="20"/>
      <c r="AP34" s="20"/>
      <c r="AQ34" s="20"/>
      <c r="AR34" s="289"/>
    </row>
    <row r="35" spans="1:44" ht="16.2" customHeight="1" x14ac:dyDescent="0.3">
      <c r="A35" s="5"/>
      <c r="B35" s="424"/>
      <c r="C35" s="357"/>
      <c r="D35" s="358"/>
      <c r="E35" s="358"/>
      <c r="F35" s="358"/>
      <c r="G35" s="358"/>
      <c r="H35" s="358"/>
      <c r="I35" s="358"/>
      <c r="J35" s="358"/>
      <c r="K35" s="358"/>
      <c r="L35" s="358"/>
      <c r="M35" s="505"/>
      <c r="N35" s="403"/>
      <c r="O35" s="20"/>
      <c r="P35" s="20"/>
      <c r="Q35" s="20"/>
      <c r="R35" s="20"/>
      <c r="S35" s="20"/>
      <c r="T35" s="20"/>
      <c r="U35" s="20"/>
      <c r="V35" s="20"/>
      <c r="W35" s="289"/>
      <c r="Y35" s="823" t="s">
        <v>60</v>
      </c>
      <c r="Z35" s="453" t="s">
        <v>112</v>
      </c>
      <c r="AA35" s="453"/>
      <c r="AB35" s="536" t="s">
        <v>159</v>
      </c>
      <c r="AC35" s="20"/>
      <c r="AD35" s="20"/>
      <c r="AE35" s="20"/>
      <c r="AF35" s="20"/>
      <c r="AG35" s="20"/>
      <c r="AH35" s="20"/>
      <c r="AI35" s="20"/>
      <c r="AJ35" s="20"/>
      <c r="AK35" s="20"/>
      <c r="AL35" s="20"/>
      <c r="AM35" s="20"/>
      <c r="AN35" s="20"/>
      <c r="AO35" s="20"/>
      <c r="AP35" s="20"/>
      <c r="AQ35" s="20"/>
      <c r="AR35" s="289"/>
    </row>
    <row r="36" spans="1:44" ht="16.2" customHeight="1" x14ac:dyDescent="0.3">
      <c r="A36" s="5"/>
      <c r="B36" s="424"/>
      <c r="C36" s="357"/>
      <c r="D36" s="358"/>
      <c r="E36" s="358"/>
      <c r="F36" s="358"/>
      <c r="G36" s="358"/>
      <c r="H36" s="358"/>
      <c r="I36" s="358"/>
      <c r="J36" s="358"/>
      <c r="K36" s="358"/>
      <c r="L36" s="358"/>
      <c r="M36" s="505"/>
      <c r="N36" s="403"/>
      <c r="O36" s="20"/>
      <c r="P36" s="20"/>
      <c r="Q36" s="20"/>
      <c r="R36" s="20"/>
      <c r="S36" s="20"/>
      <c r="T36" s="20"/>
      <c r="U36" s="20"/>
      <c r="V36" s="20"/>
      <c r="W36" s="289"/>
      <c r="Y36" s="275"/>
      <c r="Z36" s="357"/>
      <c r="AA36" s="20"/>
      <c r="AB36" s="831"/>
      <c r="AC36" s="20"/>
      <c r="AD36" s="20"/>
      <c r="AE36" s="20"/>
      <c r="AF36" s="20"/>
      <c r="AG36" s="20"/>
      <c r="AH36" s="20"/>
      <c r="AI36" s="20"/>
      <c r="AJ36" s="20"/>
      <c r="AK36" s="20"/>
      <c r="AL36" s="20"/>
      <c r="AM36" s="20"/>
      <c r="AN36" s="20"/>
      <c r="AO36" s="20"/>
      <c r="AP36" s="20"/>
      <c r="AQ36" s="20"/>
      <c r="AR36" s="289"/>
    </row>
    <row r="37" spans="1:44" ht="16.2" customHeight="1" x14ac:dyDescent="0.3">
      <c r="A37" s="5"/>
      <c r="B37" s="424"/>
      <c r="C37" s="357"/>
      <c r="D37" s="358"/>
      <c r="E37" s="358"/>
      <c r="F37" s="358"/>
      <c r="G37" s="358"/>
      <c r="H37" s="358"/>
      <c r="I37" s="358"/>
      <c r="J37" s="358"/>
      <c r="K37" s="358"/>
      <c r="L37" s="358"/>
      <c r="M37" s="505"/>
      <c r="N37" s="403"/>
      <c r="O37" s="20"/>
      <c r="P37" s="20"/>
      <c r="Q37" s="20"/>
      <c r="R37" s="20"/>
      <c r="S37" s="20"/>
      <c r="T37" s="20"/>
      <c r="U37" s="20"/>
      <c r="V37" s="20"/>
      <c r="W37" s="289"/>
      <c r="Y37" s="275"/>
      <c r="Z37" s="357"/>
      <c r="AA37" s="20"/>
      <c r="AB37" s="831"/>
      <c r="AC37" s="20"/>
      <c r="AD37" s="20"/>
      <c r="AE37" s="20"/>
      <c r="AF37" s="20"/>
      <c r="AG37" s="20"/>
      <c r="AH37" s="20"/>
      <c r="AI37" s="20"/>
      <c r="AJ37" s="20"/>
      <c r="AK37" s="20"/>
      <c r="AL37" s="20"/>
      <c r="AM37" s="20"/>
      <c r="AN37" s="20"/>
      <c r="AO37" s="20"/>
      <c r="AP37" s="20"/>
      <c r="AQ37" s="20"/>
      <c r="AR37" s="289"/>
    </row>
    <row r="38" spans="1:44" ht="16.2" customHeight="1" thickBot="1" x14ac:dyDescent="0.35">
      <c r="A38" s="5"/>
      <c r="B38" s="437"/>
      <c r="C38" s="357"/>
      <c r="D38" s="358"/>
      <c r="E38" s="358"/>
      <c r="F38" s="358"/>
      <c r="G38" s="358"/>
      <c r="H38" s="358"/>
      <c r="I38" s="358"/>
      <c r="J38" s="358"/>
      <c r="K38" s="358"/>
      <c r="L38" s="358"/>
      <c r="M38" s="505"/>
      <c r="N38" s="408"/>
      <c r="O38" s="164"/>
      <c r="P38" s="164"/>
      <c r="Q38" s="164"/>
      <c r="R38" s="164"/>
      <c r="S38" s="164"/>
      <c r="T38" s="164"/>
      <c r="U38" s="164"/>
      <c r="V38" s="164"/>
      <c r="W38" s="290"/>
      <c r="Y38" s="275"/>
      <c r="Z38" s="357"/>
      <c r="AA38" s="20"/>
      <c r="AB38" s="20"/>
      <c r="AC38" s="20"/>
      <c r="AD38" s="20"/>
      <c r="AE38" s="20"/>
      <c r="AF38" s="20"/>
      <c r="AG38" s="20"/>
      <c r="AH38" s="20"/>
      <c r="AI38" s="20"/>
      <c r="AJ38" s="20"/>
      <c r="AK38" s="20"/>
      <c r="AL38" s="20"/>
      <c r="AM38" s="20"/>
      <c r="AN38" s="20"/>
      <c r="AO38" s="20"/>
      <c r="AP38" s="20"/>
      <c r="AQ38" s="20"/>
      <c r="AR38" s="289"/>
    </row>
    <row r="39" spans="1:44" ht="16.2" customHeight="1" x14ac:dyDescent="0.3">
      <c r="A39" s="5"/>
      <c r="B39" s="274"/>
      <c r="C39" s="399"/>
      <c r="D39" s="400"/>
      <c r="E39" s="400"/>
      <c r="F39" s="400"/>
      <c r="G39" s="400"/>
      <c r="H39" s="400"/>
      <c r="I39" s="400"/>
      <c r="J39" s="400"/>
      <c r="K39" s="400"/>
      <c r="L39" s="400"/>
      <c r="M39" s="507"/>
      <c r="N39" s="401"/>
      <c r="O39" s="267"/>
      <c r="P39" s="267"/>
      <c r="Q39" s="267"/>
      <c r="R39" s="267"/>
      <c r="S39" s="267"/>
      <c r="T39" s="267"/>
      <c r="U39" s="267"/>
      <c r="V39" s="267"/>
      <c r="W39" s="288"/>
      <c r="Y39" s="275"/>
      <c r="Z39" s="357"/>
      <c r="AA39" s="20"/>
      <c r="AB39" s="20"/>
      <c r="AC39" s="20"/>
      <c r="AD39" s="20"/>
      <c r="AE39" s="20"/>
      <c r="AF39" s="20"/>
      <c r="AG39" s="20"/>
      <c r="AH39" s="20"/>
      <c r="AI39" s="20"/>
      <c r="AJ39" s="20"/>
      <c r="AK39" s="20"/>
      <c r="AL39" s="20"/>
      <c r="AM39" s="20"/>
      <c r="AN39" s="20"/>
      <c r="AO39" s="20"/>
      <c r="AP39" s="20"/>
      <c r="AQ39" s="20"/>
      <c r="AR39" s="289"/>
    </row>
    <row r="40" spans="1:44" ht="16.2" customHeight="1" x14ac:dyDescent="0.3">
      <c r="A40" s="5"/>
      <c r="B40" s="275"/>
      <c r="C40" s="402"/>
      <c r="D40" s="358"/>
      <c r="E40" s="358"/>
      <c r="F40" s="358"/>
      <c r="G40" s="358"/>
      <c r="H40" s="358"/>
      <c r="I40" s="358"/>
      <c r="J40" s="358"/>
      <c r="K40" s="358"/>
      <c r="L40" s="358"/>
      <c r="M40" s="505"/>
      <c r="N40" s="403"/>
      <c r="O40" s="20"/>
      <c r="P40" s="20"/>
      <c r="Q40" s="20"/>
      <c r="R40" s="20"/>
      <c r="S40" s="20"/>
      <c r="T40" s="20"/>
      <c r="U40" s="20"/>
      <c r="V40" s="20"/>
      <c r="W40" s="289"/>
      <c r="Y40" s="275"/>
      <c r="Z40" s="357"/>
      <c r="AA40" s="20"/>
      <c r="AB40" s="20"/>
      <c r="AC40" s="20"/>
      <c r="AD40" s="20"/>
      <c r="AE40" s="20"/>
      <c r="AF40" s="20"/>
      <c r="AG40" s="20"/>
      <c r="AH40" s="20"/>
      <c r="AI40" s="20"/>
      <c r="AJ40" s="20"/>
      <c r="AK40" s="20"/>
      <c r="AL40" s="20"/>
      <c r="AM40" s="20"/>
      <c r="AN40" s="20"/>
      <c r="AO40" s="20"/>
      <c r="AP40" s="20"/>
      <c r="AQ40" s="20"/>
      <c r="AR40" s="289"/>
    </row>
    <row r="41" spans="1:44" ht="16.2" customHeight="1" x14ac:dyDescent="0.3">
      <c r="A41" s="5"/>
      <c r="B41" s="275"/>
      <c r="C41" s="402"/>
      <c r="D41" s="358"/>
      <c r="E41" s="358"/>
      <c r="F41" s="358"/>
      <c r="G41" s="358"/>
      <c r="H41" s="358"/>
      <c r="I41" s="358"/>
      <c r="J41" s="358"/>
      <c r="K41" s="358"/>
      <c r="L41" s="358"/>
      <c r="M41" s="505"/>
      <c r="N41" s="403"/>
      <c r="O41" s="20"/>
      <c r="P41" s="20"/>
      <c r="Q41" s="20"/>
      <c r="R41" s="20"/>
      <c r="S41" s="20"/>
      <c r="T41" s="20"/>
      <c r="U41" s="20"/>
      <c r="V41" s="20"/>
      <c r="W41" s="289"/>
      <c r="Y41" s="275"/>
      <c r="Z41" s="357"/>
      <c r="AA41" s="20"/>
      <c r="AB41" s="20"/>
      <c r="AC41" s="20"/>
      <c r="AD41" s="20"/>
      <c r="AE41" s="20"/>
      <c r="AF41" s="20"/>
      <c r="AG41" s="20"/>
      <c r="AH41" s="20"/>
      <c r="AI41" s="20"/>
      <c r="AJ41" s="20"/>
      <c r="AK41" s="20"/>
      <c r="AL41" s="20"/>
      <c r="AM41" s="20"/>
      <c r="AN41" s="20"/>
      <c r="AO41" s="20"/>
      <c r="AP41" s="20"/>
      <c r="AQ41" s="20"/>
      <c r="AR41" s="289"/>
    </row>
    <row r="42" spans="1:44" ht="16.2" customHeight="1" x14ac:dyDescent="0.3">
      <c r="A42" s="5"/>
      <c r="B42" s="275"/>
      <c r="C42" s="402"/>
      <c r="D42" s="358"/>
      <c r="E42" s="358"/>
      <c r="F42" s="358"/>
      <c r="G42" s="358"/>
      <c r="H42" s="358"/>
      <c r="I42" s="358"/>
      <c r="J42" s="358"/>
      <c r="K42" s="358"/>
      <c r="L42" s="358"/>
      <c r="M42" s="505"/>
      <c r="N42" s="403"/>
      <c r="O42" s="20"/>
      <c r="P42" s="20"/>
      <c r="Q42" s="20"/>
      <c r="R42" s="20"/>
      <c r="S42" s="20"/>
      <c r="T42" s="20"/>
      <c r="U42" s="20"/>
      <c r="V42" s="20"/>
      <c r="W42" s="289"/>
      <c r="Y42" s="275"/>
      <c r="Z42" s="357"/>
      <c r="AA42" s="20"/>
      <c r="AB42" s="20"/>
      <c r="AC42" s="20"/>
      <c r="AD42" s="20"/>
      <c r="AE42" s="20"/>
      <c r="AF42" s="20"/>
      <c r="AG42" s="20"/>
      <c r="AH42" s="20"/>
      <c r="AI42" s="20"/>
      <c r="AJ42" s="20"/>
      <c r="AK42" s="20"/>
      <c r="AL42" s="20"/>
      <c r="AM42" s="20"/>
      <c r="AN42" s="20"/>
      <c r="AO42" s="20"/>
      <c r="AP42" s="20"/>
      <c r="AQ42" s="20"/>
      <c r="AR42" s="289"/>
    </row>
    <row r="43" spans="1:44" ht="16.2" customHeight="1" x14ac:dyDescent="0.65">
      <c r="B43" s="275"/>
      <c r="C43" s="402"/>
      <c r="D43" s="358"/>
      <c r="E43" s="358"/>
      <c r="F43" s="358"/>
      <c r="G43" s="358"/>
      <c r="H43" s="358"/>
      <c r="I43" s="358"/>
      <c r="J43" s="358"/>
      <c r="K43" s="358"/>
      <c r="L43" s="358"/>
      <c r="M43" s="505"/>
      <c r="N43" s="403"/>
      <c r="O43" s="20"/>
      <c r="P43" s="20"/>
      <c r="Q43" s="20"/>
      <c r="R43" s="20"/>
      <c r="S43" s="20"/>
      <c r="T43" s="20"/>
      <c r="U43" s="20"/>
      <c r="V43" s="20"/>
      <c r="W43" s="289"/>
      <c r="Y43" s="275"/>
      <c r="Z43" s="832"/>
      <c r="AA43" s="20"/>
      <c r="AB43" s="833">
        <f t="shared" ref="AB43" si="0">BXX63</f>
        <v>0</v>
      </c>
      <c r="AC43" s="20"/>
      <c r="AD43" s="20"/>
      <c r="AE43" s="20"/>
      <c r="AF43" s="20"/>
      <c r="AG43" s="20"/>
      <c r="AH43" s="20"/>
      <c r="AI43" s="20"/>
      <c r="AJ43" s="20"/>
      <c r="AK43" s="20"/>
      <c r="AL43" s="20"/>
      <c r="AM43" s="20"/>
      <c r="AN43" s="20"/>
      <c r="AO43" s="20"/>
      <c r="AP43" s="20"/>
      <c r="AQ43" s="20"/>
      <c r="AR43" s="289"/>
    </row>
    <row r="44" spans="1:44" ht="16.2" customHeight="1" x14ac:dyDescent="0.3">
      <c r="B44" s="275"/>
      <c r="C44" s="402"/>
      <c r="D44" s="358"/>
      <c r="E44" s="358"/>
      <c r="F44" s="358"/>
      <c r="G44" s="358"/>
      <c r="H44" s="358"/>
      <c r="I44" s="358"/>
      <c r="J44" s="358"/>
      <c r="K44" s="358"/>
      <c r="L44" s="358"/>
      <c r="M44" s="505"/>
      <c r="N44" s="403"/>
      <c r="O44" s="20"/>
      <c r="P44" s="20"/>
      <c r="Q44" s="20"/>
      <c r="R44" s="20"/>
      <c r="S44" s="20"/>
      <c r="T44" s="20"/>
      <c r="U44" s="20"/>
      <c r="V44" s="20"/>
      <c r="W44" s="289"/>
      <c r="Y44" s="275"/>
      <c r="Z44" s="357"/>
      <c r="AA44" s="20"/>
      <c r="AB44" s="20"/>
      <c r="AC44" s="20"/>
      <c r="AD44" s="20"/>
      <c r="AE44" s="20"/>
      <c r="AF44" s="20"/>
      <c r="AG44" s="20"/>
      <c r="AH44" s="20"/>
      <c r="AI44" s="20"/>
      <c r="AJ44" s="20"/>
      <c r="AK44" s="20"/>
      <c r="AL44" s="20"/>
      <c r="AM44" s="20"/>
      <c r="AN44" s="20"/>
      <c r="AO44" s="20"/>
      <c r="AP44" s="20"/>
      <c r="AQ44" s="20"/>
      <c r="AR44" s="289"/>
    </row>
    <row r="45" spans="1:44" ht="16.2" customHeight="1" x14ac:dyDescent="0.3">
      <c r="B45" s="275"/>
      <c r="C45" s="402"/>
      <c r="D45" s="358"/>
      <c r="E45" s="358"/>
      <c r="F45" s="358"/>
      <c r="G45" s="358"/>
      <c r="H45" s="358"/>
      <c r="I45" s="358"/>
      <c r="J45" s="358"/>
      <c r="K45" s="358"/>
      <c r="L45" s="358"/>
      <c r="M45" s="505"/>
      <c r="N45" s="403"/>
      <c r="O45" s="20"/>
      <c r="P45" s="20"/>
      <c r="Q45" s="20"/>
      <c r="R45" s="20"/>
      <c r="S45" s="20"/>
      <c r="T45" s="20"/>
      <c r="U45" s="20"/>
      <c r="V45" s="20"/>
      <c r="W45" s="289"/>
      <c r="Y45" s="275"/>
      <c r="Z45" s="357"/>
      <c r="AA45" s="20"/>
      <c r="AB45" s="20"/>
      <c r="AC45" s="20"/>
      <c r="AD45" s="20"/>
      <c r="AE45" s="20"/>
      <c r="AF45" s="20"/>
      <c r="AG45" s="20"/>
      <c r="AH45" s="20"/>
      <c r="AI45" s="20"/>
      <c r="AJ45" s="20"/>
      <c r="AK45" s="20"/>
      <c r="AL45" s="20"/>
      <c r="AM45" s="20"/>
      <c r="AN45" s="20"/>
      <c r="AO45" s="20"/>
      <c r="AP45" s="20"/>
      <c r="AQ45" s="20"/>
      <c r="AR45" s="289"/>
    </row>
    <row r="46" spans="1:44" ht="16.2" customHeight="1" x14ac:dyDescent="0.3">
      <c r="B46" s="754"/>
      <c r="C46" s="763" t="s">
        <v>160</v>
      </c>
      <c r="D46" s="455"/>
      <c r="E46" s="455"/>
      <c r="F46" s="455"/>
      <c r="G46" s="455"/>
      <c r="H46" s="455"/>
      <c r="I46" s="455"/>
      <c r="J46" s="455"/>
      <c r="K46" s="455"/>
      <c r="L46" s="455"/>
      <c r="M46" s="508"/>
      <c r="N46" s="403"/>
      <c r="O46" s="20"/>
      <c r="P46" s="20"/>
      <c r="Q46" s="20"/>
      <c r="R46" s="20"/>
      <c r="S46" s="20"/>
      <c r="T46" s="20"/>
      <c r="U46" s="20"/>
      <c r="V46" s="20"/>
      <c r="W46" s="289"/>
      <c r="Y46" s="275"/>
      <c r="Z46" s="357"/>
      <c r="AA46" s="20"/>
      <c r="AB46" s="20"/>
      <c r="AC46" s="20"/>
      <c r="AD46" s="20"/>
      <c r="AE46" s="20"/>
      <c r="AF46" s="20"/>
      <c r="AG46" s="20"/>
      <c r="AH46" s="20"/>
      <c r="AI46" s="20"/>
      <c r="AJ46" s="20"/>
      <c r="AK46" s="20"/>
      <c r="AL46" s="20"/>
      <c r="AM46" s="20"/>
      <c r="AN46" s="20"/>
      <c r="AO46" s="20"/>
      <c r="AP46" s="20"/>
      <c r="AQ46" s="20"/>
      <c r="AR46" s="289"/>
    </row>
    <row r="47" spans="1:44" ht="16.2" customHeight="1" x14ac:dyDescent="0.3">
      <c r="B47" s="275"/>
      <c r="C47" s="402" t="s">
        <v>371</v>
      </c>
      <c r="D47" s="672" t="str">
        <f>D13</f>
        <v>invoer Basis NIET VOLLEDIG</v>
      </c>
      <c r="E47" s="672" t="str">
        <f>E13</f>
        <v>A1 NIET VOLLEDIG</v>
      </c>
      <c r="F47" s="672" t="str">
        <f t="shared" ref="F47:H47" si="1">F13</f>
        <v>B1 NIET VOLLEDIG</v>
      </c>
      <c r="G47" s="672" t="str">
        <f t="shared" si="1"/>
        <v>C1 NIET VOLLEDIG</v>
      </c>
      <c r="H47" s="672" t="str">
        <f t="shared" si="1"/>
        <v>D1 NIET VOLLEDIG</v>
      </c>
      <c r="I47" s="369"/>
      <c r="J47" s="369"/>
      <c r="K47" s="369"/>
      <c r="L47" s="369"/>
      <c r="M47" s="509"/>
      <c r="N47" s="403"/>
      <c r="O47" s="20"/>
      <c r="P47" s="20"/>
      <c r="Q47" s="20"/>
      <c r="R47" s="20"/>
      <c r="S47" s="20"/>
      <c r="T47" s="20"/>
      <c r="U47" s="20"/>
      <c r="V47" s="20"/>
      <c r="W47" s="289"/>
      <c r="Y47" s="275"/>
      <c r="Z47" s="357"/>
      <c r="AA47" s="20"/>
      <c r="AB47" s="20"/>
      <c r="AC47" s="20"/>
      <c r="AD47" s="20"/>
      <c r="AE47" s="20"/>
      <c r="AF47" s="20"/>
      <c r="AG47" s="20"/>
      <c r="AH47" s="20"/>
      <c r="AI47" s="20"/>
      <c r="AJ47" s="20"/>
      <c r="AK47" s="20"/>
      <c r="AL47" s="20"/>
      <c r="AM47" s="20"/>
      <c r="AN47" s="20"/>
      <c r="AO47" s="20"/>
      <c r="AP47" s="20"/>
      <c r="AQ47" s="20"/>
      <c r="AR47" s="289"/>
    </row>
    <row r="48" spans="1:44" ht="16.2" customHeight="1" x14ac:dyDescent="0.3">
      <c r="B48" s="755"/>
      <c r="C48" s="764" t="str">
        <f>C15</f>
        <v>Voorkómen: niet doen wat echt niet hoeft</v>
      </c>
      <c r="D48" s="747" t="str">
        <f>IF(COUNT(D16)=1,'invoer Basis'!L53,"----")</f>
        <v>----</v>
      </c>
      <c r="E48" s="747" t="str">
        <f>IF(COUNT(E16)=1,'A1'!L53,"----")</f>
        <v>----</v>
      </c>
      <c r="F48" s="747" t="str">
        <f>IF(COUNT(F16)=1,'B1'!L53,"----")</f>
        <v>----</v>
      </c>
      <c r="G48" s="747" t="str">
        <f>IF(COUNT(G16)=1,'C1'!L53,"----")</f>
        <v>----</v>
      </c>
      <c r="H48" s="747" t="str">
        <f>IF(COUNT(H16)=1,'D1'!L53,"----")</f>
        <v>----</v>
      </c>
      <c r="I48" s="458"/>
      <c r="J48" s="458"/>
      <c r="K48" s="458"/>
      <c r="L48" s="458"/>
      <c r="M48" s="510"/>
      <c r="N48" s="403"/>
      <c r="O48" s="20"/>
      <c r="P48" s="20"/>
      <c r="Q48" s="20"/>
      <c r="R48" s="20"/>
      <c r="S48" s="20"/>
      <c r="T48" s="20"/>
      <c r="U48" s="20"/>
      <c r="V48" s="20"/>
      <c r="W48" s="289"/>
      <c r="Y48" s="764"/>
      <c r="Z48" s="357"/>
      <c r="AA48" s="20"/>
      <c r="AB48" s="20"/>
      <c r="AC48" s="20"/>
      <c r="AD48" s="20"/>
      <c r="AE48" s="20"/>
      <c r="AF48" s="20"/>
      <c r="AG48" s="20"/>
      <c r="AH48" s="20"/>
      <c r="AI48" s="20"/>
      <c r="AJ48" s="20"/>
      <c r="AK48" s="20"/>
      <c r="AL48" s="20"/>
      <c r="AM48" s="20"/>
      <c r="AN48" s="20"/>
      <c r="AO48" s="20"/>
      <c r="AP48" s="20"/>
      <c r="AQ48" s="20"/>
      <c r="AR48" s="289"/>
    </row>
    <row r="49" spans="2:44" ht="16.2" customHeight="1" x14ac:dyDescent="0.3">
      <c r="B49" s="756"/>
      <c r="C49" s="765" t="str">
        <f>C17</f>
        <v>Verleng de levensduur van bestaande objecten of componenten</v>
      </c>
      <c r="D49" s="747" t="str">
        <f>IF(COUNT(D18)=1,'invoer Basis'!L54,"----")</f>
        <v>----</v>
      </c>
      <c r="E49" s="747" t="str">
        <f>IF(COUNT(E18)=1,'A1'!L54,"----")</f>
        <v>----</v>
      </c>
      <c r="F49" s="747" t="str">
        <f>IF(COUNT(F18)=1,'B1'!L54,"----")</f>
        <v>----</v>
      </c>
      <c r="G49" s="747" t="str">
        <f>IF(COUNT(G18)=1,'C1'!L54,"----")</f>
        <v>----</v>
      </c>
      <c r="H49" s="747" t="str">
        <f>IF(COUNT(H18)=1,'D1'!L54,"----")</f>
        <v>----</v>
      </c>
      <c r="I49" s="459"/>
      <c r="J49" s="459"/>
      <c r="K49" s="459"/>
      <c r="L49" s="459"/>
      <c r="M49" s="511"/>
      <c r="N49" s="403"/>
      <c r="O49" s="20"/>
      <c r="P49" s="20"/>
      <c r="Q49" s="20"/>
      <c r="R49" s="20"/>
      <c r="S49" s="20"/>
      <c r="T49" s="20"/>
      <c r="U49" s="20"/>
      <c r="V49" s="20"/>
      <c r="W49" s="289"/>
      <c r="Y49" s="765"/>
      <c r="Z49" s="357"/>
      <c r="AA49" s="20"/>
      <c r="AB49" s="20"/>
      <c r="AC49" s="20"/>
      <c r="AD49" s="20"/>
      <c r="AE49" s="20"/>
      <c r="AF49" s="20"/>
      <c r="AG49" s="20"/>
      <c r="AH49" s="20"/>
      <c r="AI49" s="20"/>
      <c r="AJ49" s="20"/>
      <c r="AK49" s="20"/>
      <c r="AL49" s="20"/>
      <c r="AM49" s="20"/>
      <c r="AN49" s="20"/>
      <c r="AO49" s="20"/>
      <c r="AP49" s="20"/>
      <c r="AQ49" s="20"/>
      <c r="AR49" s="289"/>
    </row>
    <row r="50" spans="2:44" ht="16.2" customHeight="1" x14ac:dyDescent="0.3">
      <c r="B50" s="757"/>
      <c r="C50" s="766" t="str">
        <f>C19</f>
        <v>Duurzaam gebruik van bestaande objecten, materialen, grondstoffen en natuurlijke processen</v>
      </c>
      <c r="D50" s="747" t="str">
        <f>IF(COUNT(D20:D22)=3,'invoer Basis'!L55,"----")</f>
        <v>----</v>
      </c>
      <c r="E50" s="747" t="str">
        <f>IF(COUNT(E20:E22)=3,'A1'!L55,"----")</f>
        <v>----</v>
      </c>
      <c r="F50" s="747" t="str">
        <f>IF(COUNT(F20:F22)=3,'B1'!L55,"----")</f>
        <v>----</v>
      </c>
      <c r="G50" s="747" t="str">
        <f>IF(COUNT(G20:G22)=3,'C1'!L55,"----")</f>
        <v>----</v>
      </c>
      <c r="H50" s="747" t="str">
        <f>IF(COUNT(H20:H22)=3,'D1'!L55,"----")</f>
        <v>----</v>
      </c>
      <c r="I50" s="460"/>
      <c r="J50" s="460"/>
      <c r="K50" s="460"/>
      <c r="L50" s="460"/>
      <c r="M50" s="512"/>
      <c r="N50" s="403"/>
      <c r="O50" s="20"/>
      <c r="P50" s="20"/>
      <c r="Q50" s="20"/>
      <c r="R50" s="20"/>
      <c r="S50" s="20"/>
      <c r="T50" s="20"/>
      <c r="U50" s="20"/>
      <c r="V50" s="20"/>
      <c r="W50" s="289"/>
      <c r="Y50" s="766"/>
      <c r="Z50" s="357"/>
      <c r="AA50" s="20"/>
      <c r="AB50" s="20"/>
      <c r="AC50" s="20"/>
      <c r="AD50" s="20"/>
      <c r="AE50" s="20"/>
      <c r="AF50" s="20"/>
      <c r="AG50" s="20"/>
      <c r="AH50" s="20"/>
      <c r="AI50" s="20"/>
      <c r="AJ50" s="20"/>
      <c r="AK50" s="20"/>
      <c r="AL50" s="20"/>
      <c r="AM50" s="20"/>
      <c r="AN50" s="20"/>
      <c r="AO50" s="20"/>
      <c r="AP50" s="20"/>
      <c r="AQ50" s="20"/>
      <c r="AR50" s="289"/>
    </row>
    <row r="51" spans="2:44" ht="16.2" customHeight="1" x14ac:dyDescent="0.3">
      <c r="B51" s="758"/>
      <c r="C51" s="767" t="str">
        <f>C23</f>
        <v>Ontwerp voor meerdere levenscycli</v>
      </c>
      <c r="D51" s="747" t="str">
        <f>IF(COUNT(D24:D25)=2,'invoer Basis'!L56,"----")</f>
        <v>----</v>
      </c>
      <c r="E51" s="747" t="str">
        <f>IF(COUNT(E24:E25)=2,'A1'!L56,"----")</f>
        <v>----</v>
      </c>
      <c r="F51" s="747" t="str">
        <f>IF(COUNT(F24:F25)=2,'B1'!L56,"----")</f>
        <v>----</v>
      </c>
      <c r="G51" s="747" t="str">
        <f>IF(COUNT(G24:G25)=2,'C1'!L56,"----")</f>
        <v>----</v>
      </c>
      <c r="H51" s="747" t="str">
        <f>IF(COUNT(H24:H25)=2,'D1'!L56,"----")</f>
        <v>----</v>
      </c>
      <c r="I51" s="461"/>
      <c r="J51" s="461"/>
      <c r="K51" s="461"/>
      <c r="L51" s="461"/>
      <c r="M51" s="513"/>
      <c r="N51" s="403"/>
      <c r="O51" s="20"/>
      <c r="P51" s="20"/>
      <c r="Q51" s="20"/>
      <c r="R51" s="20"/>
      <c r="S51" s="20"/>
      <c r="T51" s="20"/>
      <c r="U51" s="20"/>
      <c r="V51" s="20"/>
      <c r="W51" s="289"/>
      <c r="Y51" s="767"/>
      <c r="Z51" s="357"/>
      <c r="AA51" s="20"/>
      <c r="AB51" s="20"/>
      <c r="AC51" s="20"/>
      <c r="AD51" s="20"/>
      <c r="AE51" s="20"/>
      <c r="AF51" s="20"/>
      <c r="AG51" s="20"/>
      <c r="AH51" s="20"/>
      <c r="AI51" s="20"/>
      <c r="AJ51" s="20"/>
      <c r="AK51" s="20"/>
      <c r="AL51" s="20"/>
      <c r="AM51" s="20"/>
      <c r="AN51" s="20"/>
      <c r="AO51" s="20"/>
      <c r="AP51" s="20"/>
      <c r="AQ51" s="20"/>
      <c r="AR51" s="289"/>
    </row>
    <row r="52" spans="2:44" ht="16.2" customHeight="1" x14ac:dyDescent="0.3">
      <c r="B52" s="759"/>
      <c r="C52" s="768" t="str">
        <f>C26</f>
        <v>Ontwerp toekomstbestendig</v>
      </c>
      <c r="D52" s="747" t="str">
        <f>IF(COUNT(D27)=1,'invoer Basis'!L57,"----")</f>
        <v>----</v>
      </c>
      <c r="E52" s="747" t="str">
        <f>IF(COUNT(E27)=1,'A1'!L57,"----")</f>
        <v>----</v>
      </c>
      <c r="F52" s="747" t="str">
        <f>IF(COUNT(F27)=1,'B1'!L57,"----")</f>
        <v>----</v>
      </c>
      <c r="G52" s="747" t="str">
        <f>IF(COUNT(G27)=1,'C1'!L57,"----")</f>
        <v>----</v>
      </c>
      <c r="H52" s="747" t="str">
        <f>IF(COUNT(H27)=1,'D1'!L57,"----")</f>
        <v>----</v>
      </c>
      <c r="I52" s="462"/>
      <c r="J52" s="462"/>
      <c r="K52" s="462"/>
      <c r="L52" s="462"/>
      <c r="M52" s="514"/>
      <c r="N52" s="403"/>
      <c r="O52" s="20"/>
      <c r="P52" s="20"/>
      <c r="Q52" s="20"/>
      <c r="R52" s="20"/>
      <c r="S52" s="20"/>
      <c r="T52" s="20"/>
      <c r="U52" s="20"/>
      <c r="V52" s="20"/>
      <c r="W52" s="289"/>
      <c r="Y52" s="768"/>
      <c r="Z52" s="357"/>
      <c r="AA52" s="20"/>
      <c r="AB52" s="20"/>
      <c r="AC52" s="20"/>
      <c r="AD52" s="20"/>
      <c r="AE52" s="20"/>
      <c r="AF52" s="20"/>
      <c r="AG52" s="20"/>
      <c r="AH52" s="20"/>
      <c r="AI52" s="20"/>
      <c r="AJ52" s="20"/>
      <c r="AK52" s="20"/>
      <c r="AL52" s="20"/>
      <c r="AM52" s="20"/>
      <c r="AN52" s="20"/>
      <c r="AO52" s="20"/>
      <c r="AP52" s="20"/>
      <c r="AQ52" s="20"/>
      <c r="AR52" s="289"/>
    </row>
    <row r="53" spans="2:44" ht="16.2" customHeight="1" x14ac:dyDescent="0.3">
      <c r="B53" s="760"/>
      <c r="C53" s="769" t="str">
        <f>C28</f>
        <v xml:space="preserve">Ontwerp voor optimaal beheer en onderhoud </v>
      </c>
      <c r="D53" s="747" t="str">
        <f>IF(COUNT(D29)=1,'invoer Basis'!L58,"----")</f>
        <v>----</v>
      </c>
      <c r="E53" s="747" t="str">
        <f>IF(COUNT(E29)=1,'A1'!L58,"----")</f>
        <v>----</v>
      </c>
      <c r="F53" s="747" t="str">
        <f>IF(COUNT(F29)=1,'B1'!L58,"----")</f>
        <v>----</v>
      </c>
      <c r="G53" s="747" t="str">
        <f>IF(COUNT(G29)=1,'C1'!L58,"----")</f>
        <v>----</v>
      </c>
      <c r="H53" s="747" t="str">
        <f>IF(COUNT(H29)=1,'D1'!L58,"----")</f>
        <v>----</v>
      </c>
      <c r="I53" s="463"/>
      <c r="J53" s="463"/>
      <c r="K53" s="463"/>
      <c r="L53" s="463"/>
      <c r="M53" s="515"/>
      <c r="N53" s="403"/>
      <c r="O53" s="20"/>
      <c r="P53" s="20"/>
      <c r="Q53" s="20"/>
      <c r="R53" s="20"/>
      <c r="S53" s="20"/>
      <c r="T53" s="20"/>
      <c r="U53" s="20"/>
      <c r="V53" s="20"/>
      <c r="W53" s="289"/>
      <c r="Y53" s="769"/>
      <c r="Z53" s="357"/>
      <c r="AA53" s="20"/>
      <c r="AB53" s="20"/>
      <c r="AC53" s="20"/>
      <c r="AD53" s="20"/>
      <c r="AE53" s="20"/>
      <c r="AF53" s="20"/>
      <c r="AG53" s="20"/>
      <c r="AH53" s="20"/>
      <c r="AI53" s="20"/>
      <c r="AJ53" s="20"/>
      <c r="AK53" s="20"/>
      <c r="AL53" s="20"/>
      <c r="AM53" s="20"/>
      <c r="AN53" s="20"/>
      <c r="AO53" s="20"/>
      <c r="AP53" s="20"/>
      <c r="AQ53" s="20"/>
      <c r="AR53" s="289"/>
    </row>
    <row r="54" spans="2:44" ht="16.2" customHeight="1" x14ac:dyDescent="0.3">
      <c r="B54" s="761"/>
      <c r="C54" s="770" t="str">
        <f>C30</f>
        <v>Duurzaam materiaalgebruik (hoeveel x milieubelasting)</v>
      </c>
      <c r="D54" s="747" t="str">
        <f>IF(COUNT(D31:D32)=2,'invoer Basis'!L59,"----")</f>
        <v>----</v>
      </c>
      <c r="E54" s="747" t="str">
        <f>IF(COUNT(E31:E32)=2,'A1'!L59,"----")</f>
        <v>----</v>
      </c>
      <c r="F54" s="747" t="str">
        <f>IF(COUNT(F31:F32)=2,'B1'!L59,"----")</f>
        <v>----</v>
      </c>
      <c r="G54" s="747" t="str">
        <f>IF(COUNT(G31:G32)=2,'C1'!L59,"----")</f>
        <v>----</v>
      </c>
      <c r="H54" s="747" t="str">
        <f>IF(COUNT(H31:H32)=2,'D1'!L59,"----")</f>
        <v>----</v>
      </c>
      <c r="I54" s="464"/>
      <c r="J54" s="464"/>
      <c r="K54" s="464"/>
      <c r="L54" s="464"/>
      <c r="M54" s="516"/>
      <c r="N54" s="403"/>
      <c r="O54" s="20"/>
      <c r="P54" s="20"/>
      <c r="Q54" s="20"/>
      <c r="R54" s="20"/>
      <c r="S54" s="20"/>
      <c r="T54" s="20"/>
      <c r="U54" s="20"/>
      <c r="V54" s="20"/>
      <c r="W54" s="289"/>
      <c r="Y54" s="770"/>
      <c r="Z54" s="357"/>
      <c r="AA54" s="20"/>
      <c r="AB54" s="20"/>
      <c r="AC54" s="20"/>
      <c r="AD54" s="20"/>
      <c r="AE54" s="20"/>
      <c r="AF54" s="20"/>
      <c r="AG54" s="20"/>
      <c r="AH54" s="20"/>
      <c r="AI54" s="20"/>
      <c r="AJ54" s="20"/>
      <c r="AK54" s="20"/>
      <c r="AL54" s="20"/>
      <c r="AM54" s="20"/>
      <c r="AN54" s="20"/>
      <c r="AO54" s="20"/>
      <c r="AP54" s="20"/>
      <c r="AQ54" s="20"/>
      <c r="AR54" s="289"/>
    </row>
    <row r="55" spans="2:44" ht="16.2" customHeight="1" x14ac:dyDescent="0.3">
      <c r="B55" s="762"/>
      <c r="C55" s="771" t="str">
        <f>C33</f>
        <v>Ontwerp voor minimaal grondstof- en energiegebruik in de aanleg/gebruiksfase</v>
      </c>
      <c r="D55" s="747" t="str">
        <f>IF(COUNT(D34)=1,'invoer Basis'!L60,"----")</f>
        <v>----</v>
      </c>
      <c r="E55" s="747" t="str">
        <f>IF(COUNT(E34)=1,'A1'!L60,"----")</f>
        <v>----</v>
      </c>
      <c r="F55" s="747" t="str">
        <f>IF(COUNT(F34)=1,'B1'!L60,"----")</f>
        <v>----</v>
      </c>
      <c r="G55" s="747" t="str">
        <f>IF(COUNT(G34)=1,'C1'!L60,"----")</f>
        <v>----</v>
      </c>
      <c r="H55" s="747" t="str">
        <f>IF(COUNT(H34)=1,'D1'!L60,"----")</f>
        <v>----</v>
      </c>
      <c r="I55" s="459"/>
      <c r="J55" s="459"/>
      <c r="K55" s="459"/>
      <c r="L55" s="459"/>
      <c r="M55" s="511"/>
      <c r="N55" s="403"/>
      <c r="O55" s="20"/>
      <c r="P55" s="20"/>
      <c r="Q55" s="20"/>
      <c r="R55" s="20"/>
      <c r="S55" s="20"/>
      <c r="T55" s="20"/>
      <c r="U55" s="20"/>
      <c r="V55" s="20"/>
      <c r="W55" s="289"/>
      <c r="Y55" s="771"/>
      <c r="Z55" s="357"/>
      <c r="AA55" s="20"/>
      <c r="AB55" s="20"/>
      <c r="AC55" s="20"/>
      <c r="AD55" s="20"/>
      <c r="AE55" s="20"/>
      <c r="AF55" s="20"/>
      <c r="AG55" s="20"/>
      <c r="AH55" s="20"/>
      <c r="AI55" s="20"/>
      <c r="AJ55" s="20"/>
      <c r="AK55" s="20"/>
      <c r="AL55" s="20"/>
      <c r="AM55" s="20"/>
      <c r="AN55" s="20"/>
      <c r="AO55" s="20"/>
      <c r="AP55" s="20"/>
      <c r="AQ55" s="20"/>
      <c r="AR55" s="289"/>
    </row>
    <row r="56" spans="2:44" ht="16.2" customHeight="1" x14ac:dyDescent="0.3">
      <c r="B56" s="275"/>
      <c r="C56" s="772" t="s">
        <v>423</v>
      </c>
      <c r="D56" s="747">
        <f>'invoer Basis'!AP44</f>
        <v>0</v>
      </c>
      <c r="E56" s="747">
        <f>'A1'!AP44</f>
        <v>0</v>
      </c>
      <c r="F56" s="747">
        <f>'B1'!AP44</f>
        <v>0</v>
      </c>
      <c r="G56" s="747">
        <f>'C1'!AP44</f>
        <v>0</v>
      </c>
      <c r="H56" s="747">
        <f>'D1'!AP44</f>
        <v>0</v>
      </c>
      <c r="I56" s="465"/>
      <c r="J56" s="465"/>
      <c r="K56" s="465"/>
      <c r="L56" s="465"/>
      <c r="M56" s="517"/>
      <c r="N56" s="403"/>
      <c r="O56" s="20"/>
      <c r="P56" s="20"/>
      <c r="Q56" s="20"/>
      <c r="R56" s="20"/>
      <c r="S56" s="20"/>
      <c r="T56" s="20"/>
      <c r="U56" s="20"/>
      <c r="V56" s="20"/>
      <c r="W56" s="289"/>
      <c r="Y56" s="275"/>
      <c r="Z56" s="357"/>
      <c r="AA56" s="20"/>
      <c r="AB56" s="20"/>
      <c r="AC56" s="20"/>
      <c r="AD56" s="20"/>
      <c r="AE56" s="20"/>
      <c r="AF56" s="20"/>
      <c r="AG56" s="20"/>
      <c r="AH56" s="20"/>
      <c r="AI56" s="20"/>
      <c r="AJ56" s="20"/>
      <c r="AK56" s="20"/>
      <c r="AL56" s="20"/>
      <c r="AM56" s="20"/>
      <c r="AN56" s="20"/>
      <c r="AO56" s="20"/>
      <c r="AP56" s="20"/>
      <c r="AQ56" s="20"/>
      <c r="AR56" s="289"/>
    </row>
    <row r="57" spans="2:44" ht="16.2" customHeight="1" x14ac:dyDescent="0.3">
      <c r="B57" s="275"/>
      <c r="C57" s="773" t="s">
        <v>48</v>
      </c>
      <c r="D57" s="747" t="str">
        <f>IF(COUNT(D48:D55)=8,'invoer Basis'!N49+D56,"----")</f>
        <v>----</v>
      </c>
      <c r="E57" s="747" t="str">
        <f>IF(COUNT(E48:E55)=8,'A1'!N49+E56,"----")</f>
        <v>----</v>
      </c>
      <c r="F57" s="747" t="str">
        <f>IF(COUNT(F48:F55)=8,'B1'!N49+F56,"----")</f>
        <v>----</v>
      </c>
      <c r="G57" s="747" t="str">
        <f>IF(COUNT(G48:G55)=8,'C1'!N49+G56,"----")</f>
        <v>----</v>
      </c>
      <c r="H57" s="747" t="str">
        <f>IF(COUNT(H48:H55)=8,'D1'!N49+H56,"----")</f>
        <v>----</v>
      </c>
      <c r="I57" s="465"/>
      <c r="J57" s="465"/>
      <c r="K57" s="465"/>
      <c r="L57" s="465"/>
      <c r="M57" s="517"/>
      <c r="N57" s="403"/>
      <c r="O57" s="20"/>
      <c r="P57" s="20"/>
      <c r="Q57" s="20"/>
      <c r="R57" s="20"/>
      <c r="S57" s="20"/>
      <c r="T57" s="20"/>
      <c r="U57" s="20"/>
      <c r="V57" s="20"/>
      <c r="W57" s="289"/>
      <c r="Y57" s="275"/>
      <c r="Z57" s="357"/>
      <c r="AA57" s="20"/>
      <c r="AB57" s="20"/>
      <c r="AC57" s="20"/>
      <c r="AD57" s="20"/>
      <c r="AE57" s="20"/>
      <c r="AF57" s="20"/>
      <c r="AG57" s="20"/>
      <c r="AH57" s="20"/>
      <c r="AI57" s="20"/>
      <c r="AJ57" s="20"/>
      <c r="AK57" s="20"/>
      <c r="AL57" s="20"/>
      <c r="AM57" s="20"/>
      <c r="AN57" s="20"/>
      <c r="AO57" s="20"/>
      <c r="AP57" s="20"/>
      <c r="AQ57" s="20"/>
      <c r="AR57" s="289"/>
    </row>
    <row r="58" spans="2:44" ht="16.2" customHeight="1" x14ac:dyDescent="0.3">
      <c r="B58" s="275"/>
      <c r="C58" s="772" t="s">
        <v>162</v>
      </c>
      <c r="D58" s="747" t="str">
        <f>IF(COUNT(D57)=1,100-D57,"----")</f>
        <v>----</v>
      </c>
      <c r="E58" s="747" t="str">
        <f>IF(COUNT(E57)=1,100-E57,"----")</f>
        <v>----</v>
      </c>
      <c r="F58" s="747" t="str">
        <f>IF(COUNT(F57)=1,100-F57,"----")</f>
        <v>----</v>
      </c>
      <c r="G58" s="747" t="str">
        <f>IF(COUNT(G57)=1,100-G57,"----")</f>
        <v>----</v>
      </c>
      <c r="H58" s="747" t="str">
        <f>IF(COUNT(H57)=1,100-H57,"----")</f>
        <v>----</v>
      </c>
      <c r="I58" s="468"/>
      <c r="J58" s="468"/>
      <c r="K58" s="468"/>
      <c r="L58" s="468"/>
      <c r="M58" s="523"/>
      <c r="N58" s="403"/>
      <c r="O58" s="20"/>
      <c r="P58" s="20"/>
      <c r="Q58" s="20"/>
      <c r="R58" s="20"/>
      <c r="S58" s="20"/>
      <c r="T58" s="20"/>
      <c r="U58" s="20"/>
      <c r="V58" s="20"/>
      <c r="W58" s="289"/>
      <c r="Y58" s="275"/>
      <c r="Z58" s="357"/>
      <c r="AA58" s="20"/>
      <c r="AB58" s="20"/>
      <c r="AC58" s="20"/>
      <c r="AD58" s="20"/>
      <c r="AE58" s="20"/>
      <c r="AF58" s="20"/>
      <c r="AG58" s="20"/>
      <c r="AH58" s="20"/>
      <c r="AI58" s="20"/>
      <c r="AJ58" s="20"/>
      <c r="AK58" s="20"/>
      <c r="AL58" s="20"/>
      <c r="AM58" s="20"/>
      <c r="AN58" s="20"/>
      <c r="AO58" s="20"/>
      <c r="AP58" s="20"/>
      <c r="AQ58" s="20"/>
      <c r="AR58" s="289"/>
    </row>
    <row r="59" spans="2:44" ht="16.2" customHeight="1" x14ac:dyDescent="0.3">
      <c r="B59" s="275"/>
      <c r="C59" s="402"/>
      <c r="D59" s="358"/>
      <c r="E59" s="358"/>
      <c r="F59" s="358"/>
      <c r="G59" s="358"/>
      <c r="H59" s="358"/>
      <c r="I59" s="358"/>
      <c r="J59" s="358"/>
      <c r="K59" s="358"/>
      <c r="L59" s="358"/>
      <c r="M59" s="505"/>
      <c r="N59" s="403"/>
      <c r="O59" s="20"/>
      <c r="P59" s="20"/>
      <c r="Q59" s="20"/>
      <c r="R59" s="20"/>
      <c r="S59" s="20"/>
      <c r="T59" s="20"/>
      <c r="U59" s="20"/>
      <c r="V59" s="20"/>
      <c r="W59" s="289"/>
      <c r="Y59" s="275"/>
      <c r="Z59" s="357"/>
      <c r="AA59" s="20"/>
      <c r="AB59" s="20"/>
      <c r="AC59" s="20"/>
      <c r="AD59" s="20"/>
      <c r="AE59" s="20"/>
      <c r="AF59" s="20"/>
      <c r="AG59" s="20"/>
      <c r="AH59" s="20"/>
      <c r="AI59" s="20"/>
      <c r="AJ59" s="20"/>
      <c r="AK59" s="20"/>
      <c r="AL59" s="20"/>
      <c r="AM59" s="20"/>
      <c r="AN59" s="20"/>
      <c r="AO59" s="20"/>
      <c r="AP59" s="20"/>
      <c r="AQ59" s="20"/>
      <c r="AR59" s="289"/>
    </row>
    <row r="60" spans="2:44" ht="16.2" customHeight="1" x14ac:dyDescent="0.3">
      <c r="B60" s="275"/>
      <c r="C60" s="402"/>
      <c r="D60" s="358"/>
      <c r="E60" s="358"/>
      <c r="F60" s="358"/>
      <c r="G60" s="358"/>
      <c r="H60" s="358"/>
      <c r="I60" s="358"/>
      <c r="J60" s="358"/>
      <c r="K60" s="358"/>
      <c r="L60" s="358"/>
      <c r="M60" s="505"/>
      <c r="N60" s="403"/>
      <c r="O60" s="20"/>
      <c r="P60" s="20"/>
      <c r="Q60" s="20"/>
      <c r="R60" s="20"/>
      <c r="S60" s="20"/>
      <c r="T60" s="20"/>
      <c r="U60" s="20"/>
      <c r="V60" s="20"/>
      <c r="W60" s="289"/>
      <c r="Y60" s="275"/>
      <c r="Z60" s="357"/>
      <c r="AA60" s="20"/>
      <c r="AB60" s="20"/>
      <c r="AC60" s="20"/>
      <c r="AD60" s="20"/>
      <c r="AE60" s="20"/>
      <c r="AF60" s="20"/>
      <c r="AG60" s="20"/>
      <c r="AH60" s="20"/>
      <c r="AI60" s="20"/>
      <c r="AJ60" s="20"/>
      <c r="AK60" s="20"/>
      <c r="AL60" s="20"/>
      <c r="AM60" s="20"/>
      <c r="AN60" s="20"/>
      <c r="AO60" s="20"/>
      <c r="AP60" s="20"/>
      <c r="AQ60" s="20"/>
      <c r="AR60" s="289"/>
    </row>
    <row r="61" spans="2:44" ht="16.2" customHeight="1" x14ac:dyDescent="0.3">
      <c r="B61" s="275"/>
      <c r="C61" s="402"/>
      <c r="D61" s="358"/>
      <c r="E61" s="358"/>
      <c r="F61" s="358"/>
      <c r="G61" s="358"/>
      <c r="H61" s="358"/>
      <c r="I61" s="358"/>
      <c r="J61" s="358"/>
      <c r="K61" s="358"/>
      <c r="L61" s="358"/>
      <c r="M61" s="505"/>
      <c r="N61" s="403"/>
      <c r="O61" s="20"/>
      <c r="P61" s="20"/>
      <c r="Q61" s="20"/>
      <c r="R61" s="20"/>
      <c r="S61" s="20"/>
      <c r="T61" s="20"/>
      <c r="U61" s="20"/>
      <c r="V61" s="20"/>
      <c r="W61" s="289"/>
      <c r="Y61" s="275"/>
      <c r="Z61" s="357"/>
      <c r="AA61" s="20"/>
      <c r="AB61" s="20"/>
      <c r="AC61" s="20"/>
      <c r="AD61" s="20"/>
      <c r="AE61" s="20"/>
      <c r="AF61" s="20"/>
      <c r="AG61" s="20"/>
      <c r="AH61" s="20"/>
      <c r="AI61" s="20"/>
      <c r="AJ61" s="20"/>
      <c r="AK61" s="20"/>
      <c r="AL61" s="20"/>
      <c r="AM61" s="20"/>
      <c r="AN61" s="20"/>
      <c r="AO61" s="20"/>
      <c r="AP61" s="20"/>
      <c r="AQ61" s="20"/>
      <c r="AR61" s="289"/>
    </row>
    <row r="62" spans="2:44" ht="16.2" customHeight="1" x14ac:dyDescent="0.3">
      <c r="B62" s="275"/>
      <c r="C62" s="402"/>
      <c r="D62" s="358"/>
      <c r="E62" s="358"/>
      <c r="F62" s="358"/>
      <c r="G62" s="358"/>
      <c r="H62" s="358"/>
      <c r="I62" s="358"/>
      <c r="J62" s="358"/>
      <c r="K62" s="358"/>
      <c r="L62" s="358"/>
      <c r="M62" s="505"/>
      <c r="N62" s="403"/>
      <c r="O62" s="20"/>
      <c r="P62" s="20"/>
      <c r="Q62" s="20"/>
      <c r="R62" s="20"/>
      <c r="S62" s="20"/>
      <c r="T62" s="20"/>
      <c r="U62" s="20"/>
      <c r="V62" s="20"/>
      <c r="W62" s="289"/>
      <c r="Y62" s="275"/>
      <c r="Z62" s="357"/>
      <c r="AA62" s="20"/>
      <c r="AB62" s="20"/>
      <c r="AC62" s="20"/>
      <c r="AD62" s="20"/>
      <c r="AE62" s="20"/>
      <c r="AF62" s="20"/>
      <c r="AG62" s="20"/>
      <c r="AH62" s="20"/>
      <c r="AI62" s="20"/>
      <c r="AJ62" s="20"/>
      <c r="AK62" s="20"/>
      <c r="AL62" s="20"/>
      <c r="AM62" s="20"/>
      <c r="AN62" s="20"/>
      <c r="AO62" s="20"/>
      <c r="AP62" s="20"/>
      <c r="AQ62" s="20"/>
      <c r="AR62" s="289"/>
    </row>
    <row r="63" spans="2:44" ht="16.2" customHeight="1" x14ac:dyDescent="0.3">
      <c r="B63" s="275"/>
      <c r="C63" s="402"/>
      <c r="D63" s="358"/>
      <c r="E63" s="358"/>
      <c r="F63" s="358"/>
      <c r="G63" s="358"/>
      <c r="H63" s="358"/>
      <c r="I63" s="358"/>
      <c r="J63" s="358"/>
      <c r="K63" s="358"/>
      <c r="L63" s="358"/>
      <c r="M63" s="505"/>
      <c r="N63" s="403"/>
      <c r="O63" s="20"/>
      <c r="P63" s="20"/>
      <c r="Q63" s="20"/>
      <c r="R63" s="20"/>
      <c r="S63" s="20"/>
      <c r="T63" s="20"/>
      <c r="U63" s="20"/>
      <c r="V63" s="20"/>
      <c r="W63" s="289"/>
      <c r="Y63" s="275"/>
      <c r="Z63" s="357"/>
      <c r="AA63" s="20"/>
      <c r="AB63" s="20"/>
      <c r="AC63" s="20"/>
      <c r="AD63" s="20"/>
      <c r="AE63" s="20"/>
      <c r="AF63" s="20"/>
      <c r="AG63" s="20"/>
      <c r="AH63" s="20"/>
      <c r="AI63" s="20"/>
      <c r="AJ63" s="20"/>
      <c r="AK63" s="20"/>
      <c r="AL63" s="20"/>
      <c r="AM63" s="20"/>
      <c r="AN63" s="20"/>
      <c r="AO63" s="20"/>
      <c r="AP63" s="20"/>
      <c r="AQ63" s="20"/>
      <c r="AR63" s="289"/>
    </row>
    <row r="64" spans="2:44" ht="16.2" customHeight="1" x14ac:dyDescent="0.3">
      <c r="B64" s="275"/>
      <c r="C64" s="402"/>
      <c r="D64" s="358"/>
      <c r="E64" s="358"/>
      <c r="F64" s="358"/>
      <c r="G64" s="358"/>
      <c r="H64" s="358"/>
      <c r="I64" s="358"/>
      <c r="J64" s="358"/>
      <c r="K64" s="358"/>
      <c r="L64" s="358"/>
      <c r="M64" s="505"/>
      <c r="N64" s="403"/>
      <c r="O64" s="20"/>
      <c r="P64" s="20"/>
      <c r="Q64" s="20"/>
      <c r="R64" s="20"/>
      <c r="S64" s="20"/>
      <c r="T64" s="20"/>
      <c r="U64" s="20"/>
      <c r="V64" s="20"/>
      <c r="W64" s="289"/>
      <c r="Y64" s="275"/>
      <c r="Z64" s="357"/>
      <c r="AA64" s="20"/>
      <c r="AB64" s="20"/>
      <c r="AC64" s="20"/>
      <c r="AD64" s="20"/>
      <c r="AE64" s="20"/>
      <c r="AF64" s="20"/>
      <c r="AG64" s="20"/>
      <c r="AH64" s="20"/>
      <c r="AI64" s="20"/>
      <c r="AJ64" s="20"/>
      <c r="AK64" s="20"/>
      <c r="AL64" s="20"/>
      <c r="AM64" s="20"/>
      <c r="AN64" s="20"/>
      <c r="AO64" s="20"/>
      <c r="AP64" s="20"/>
      <c r="AQ64" s="20"/>
      <c r="AR64" s="289"/>
    </row>
    <row r="65" spans="2:44" ht="16.2" customHeight="1" x14ac:dyDescent="0.3">
      <c r="B65" s="275"/>
      <c r="C65" s="402"/>
      <c r="D65" s="358"/>
      <c r="E65" s="358"/>
      <c r="F65" s="358"/>
      <c r="G65" s="358"/>
      <c r="H65" s="358"/>
      <c r="I65" s="358"/>
      <c r="J65" s="358"/>
      <c r="K65" s="358"/>
      <c r="L65" s="358"/>
      <c r="M65" s="505"/>
      <c r="N65" s="403"/>
      <c r="O65" s="20"/>
      <c r="P65" s="20"/>
      <c r="Q65" s="20"/>
      <c r="R65" s="20"/>
      <c r="S65" s="20"/>
      <c r="T65" s="20"/>
      <c r="U65" s="20"/>
      <c r="V65" s="20"/>
      <c r="W65" s="289"/>
      <c r="Y65" s="275"/>
      <c r="Z65" s="357"/>
      <c r="AA65" s="20"/>
      <c r="AB65" s="20"/>
      <c r="AC65" s="20"/>
      <c r="AD65" s="20"/>
      <c r="AE65" s="20"/>
      <c r="AF65" s="20"/>
      <c r="AG65" s="20"/>
      <c r="AH65" s="20"/>
      <c r="AI65" s="20"/>
      <c r="AJ65" s="20"/>
      <c r="AK65" s="20"/>
      <c r="AL65" s="20"/>
      <c r="AM65" s="20"/>
      <c r="AN65" s="20"/>
      <c r="AO65" s="20"/>
      <c r="AP65" s="20"/>
      <c r="AQ65" s="20"/>
      <c r="AR65" s="289"/>
    </row>
    <row r="66" spans="2:44" ht="16.2" customHeight="1" x14ac:dyDescent="0.3">
      <c r="B66" s="275"/>
      <c r="C66" s="402"/>
      <c r="D66" s="358"/>
      <c r="E66" s="358"/>
      <c r="F66" s="358"/>
      <c r="G66" s="358"/>
      <c r="H66" s="358"/>
      <c r="I66" s="358"/>
      <c r="J66" s="358"/>
      <c r="K66" s="358"/>
      <c r="L66" s="358"/>
      <c r="M66" s="505"/>
      <c r="N66" s="403"/>
      <c r="O66" s="20"/>
      <c r="P66" s="20"/>
      <c r="Q66" s="20"/>
      <c r="R66" s="20"/>
      <c r="S66" s="20"/>
      <c r="T66" s="20"/>
      <c r="U66" s="20"/>
      <c r="V66" s="20"/>
      <c r="W66" s="289"/>
      <c r="Y66" s="275"/>
      <c r="Z66" s="357"/>
      <c r="AA66" s="20"/>
      <c r="AB66" s="20"/>
      <c r="AC66" s="20"/>
      <c r="AD66" s="20"/>
      <c r="AE66" s="20"/>
      <c r="AF66" s="20"/>
      <c r="AG66" s="20"/>
      <c r="AH66" s="20"/>
      <c r="AI66" s="20"/>
      <c r="AJ66" s="20"/>
      <c r="AK66" s="20"/>
      <c r="AL66" s="20"/>
      <c r="AM66" s="20"/>
      <c r="AN66" s="20"/>
      <c r="AO66" s="20"/>
      <c r="AP66" s="20"/>
      <c r="AQ66" s="20"/>
      <c r="AR66" s="289"/>
    </row>
    <row r="67" spans="2:44" ht="16.2" customHeight="1" x14ac:dyDescent="0.3">
      <c r="B67" s="275"/>
      <c r="C67" s="402"/>
      <c r="D67" s="358"/>
      <c r="E67" s="358"/>
      <c r="F67" s="358"/>
      <c r="G67" s="358"/>
      <c r="H67" s="358"/>
      <c r="I67" s="358"/>
      <c r="J67" s="358"/>
      <c r="K67" s="358"/>
      <c r="L67" s="358"/>
      <c r="M67" s="505"/>
      <c r="N67" s="403"/>
      <c r="O67" s="20"/>
      <c r="P67" s="20"/>
      <c r="Q67" s="20"/>
      <c r="R67" s="20"/>
      <c r="S67" s="20"/>
      <c r="T67" s="20"/>
      <c r="U67" s="20"/>
      <c r="V67" s="20"/>
      <c r="W67" s="289"/>
      <c r="Y67" s="275"/>
      <c r="Z67" s="357"/>
      <c r="AA67" s="20"/>
      <c r="AB67" s="20"/>
      <c r="AC67" s="20"/>
      <c r="AD67" s="20"/>
      <c r="AE67" s="20"/>
      <c r="AF67" s="20"/>
      <c r="AG67" s="20"/>
      <c r="AH67" s="20"/>
      <c r="AI67" s="20"/>
      <c r="AJ67" s="20"/>
      <c r="AK67" s="20"/>
      <c r="AL67" s="20"/>
      <c r="AM67" s="20"/>
      <c r="AN67" s="20"/>
      <c r="AO67" s="20"/>
      <c r="AP67" s="20"/>
      <c r="AQ67" s="20"/>
      <c r="AR67" s="289"/>
    </row>
    <row r="68" spans="2:44" ht="16.2" customHeight="1" thickBot="1" x14ac:dyDescent="0.35">
      <c r="B68" s="275"/>
      <c r="C68" s="405"/>
      <c r="D68" s="407"/>
      <c r="E68" s="407"/>
      <c r="F68" s="407"/>
      <c r="G68" s="407"/>
      <c r="H68" s="407"/>
      <c r="I68" s="407"/>
      <c r="J68" s="407"/>
      <c r="K68" s="407"/>
      <c r="L68" s="407"/>
      <c r="M68" s="506"/>
      <c r="N68" s="403"/>
      <c r="O68" s="20"/>
      <c r="P68" s="20"/>
      <c r="Q68" s="20"/>
      <c r="R68" s="20"/>
      <c r="S68" s="20"/>
      <c r="T68" s="20"/>
      <c r="U68" s="20"/>
      <c r="V68" s="20"/>
      <c r="W68" s="289"/>
      <c r="Y68" s="275"/>
      <c r="Z68" s="357"/>
      <c r="AA68" s="20"/>
      <c r="AB68" s="20"/>
      <c r="AC68" s="20"/>
      <c r="AD68" s="20"/>
      <c r="AE68" s="20"/>
      <c r="AF68" s="20"/>
      <c r="AG68" s="20"/>
      <c r="AH68" s="20"/>
      <c r="AI68" s="20"/>
      <c r="AJ68" s="20"/>
      <c r="AK68" s="20"/>
      <c r="AL68" s="20"/>
      <c r="AM68" s="20"/>
      <c r="AN68" s="20"/>
      <c r="AO68" s="20"/>
      <c r="AP68" s="20"/>
      <c r="AQ68" s="20"/>
      <c r="AR68" s="289"/>
    </row>
    <row r="69" spans="2:44" ht="16.2" customHeight="1" x14ac:dyDescent="0.3">
      <c r="B69" s="423"/>
      <c r="C69" s="357"/>
      <c r="D69" s="358"/>
      <c r="E69" s="358"/>
      <c r="F69" s="358"/>
      <c r="G69" s="358"/>
      <c r="H69" s="358"/>
      <c r="I69" s="358"/>
      <c r="J69" s="358"/>
      <c r="K69" s="358"/>
      <c r="L69" s="358"/>
      <c r="M69" s="505"/>
      <c r="N69" s="800"/>
      <c r="O69" s="801"/>
      <c r="P69" s="801"/>
      <c r="Q69" s="801"/>
      <c r="R69" s="801"/>
      <c r="S69" s="801"/>
      <c r="T69" s="801"/>
      <c r="U69" s="801"/>
      <c r="V69" s="801"/>
      <c r="W69" s="802"/>
      <c r="Y69" s="275"/>
      <c r="Z69" s="357"/>
      <c r="AA69" s="20"/>
      <c r="AB69" s="20"/>
      <c r="AC69" s="20"/>
      <c r="AD69" s="20"/>
      <c r="AE69" s="20"/>
      <c r="AF69" s="20"/>
      <c r="AG69" s="20"/>
      <c r="AH69" s="20"/>
      <c r="AI69" s="20"/>
      <c r="AJ69" s="20"/>
      <c r="AK69" s="20"/>
      <c r="AL69" s="20"/>
      <c r="AM69" s="20"/>
      <c r="AN69" s="20"/>
      <c r="AO69" s="20"/>
      <c r="AP69" s="20"/>
      <c r="AQ69" s="20"/>
      <c r="AR69" s="289"/>
    </row>
    <row r="70" spans="2:44" ht="16.2" customHeight="1" x14ac:dyDescent="0.35">
      <c r="B70" s="454"/>
      <c r="C70" s="456" t="s">
        <v>163</v>
      </c>
      <c r="D70" s="455"/>
      <c r="E70" s="455"/>
      <c r="F70" s="455"/>
      <c r="G70" s="455"/>
      <c r="H70" s="455"/>
      <c r="I70" s="455"/>
      <c r="J70" s="455"/>
      <c r="K70" s="455"/>
      <c r="L70" s="455"/>
      <c r="M70" s="508"/>
      <c r="N70" s="803"/>
      <c r="O70" s="804" t="s">
        <v>360</v>
      </c>
      <c r="P70" s="805"/>
      <c r="Q70" s="805"/>
      <c r="R70" s="805"/>
      <c r="S70" s="805"/>
      <c r="T70" s="805"/>
      <c r="U70" s="805"/>
      <c r="V70" s="805"/>
      <c r="W70" s="806"/>
      <c r="Y70" s="275"/>
      <c r="Z70" s="357"/>
      <c r="AA70" s="20"/>
      <c r="AB70" s="20"/>
      <c r="AC70" s="20"/>
      <c r="AD70" s="20"/>
      <c r="AE70" s="20"/>
      <c r="AF70" s="20"/>
      <c r="AG70" s="20"/>
      <c r="AH70" s="20"/>
      <c r="AI70" s="20"/>
      <c r="AJ70" s="20"/>
      <c r="AK70" s="20"/>
      <c r="AL70" s="20"/>
      <c r="AM70" s="20"/>
      <c r="AN70" s="20"/>
      <c r="AO70" s="20"/>
      <c r="AP70" s="20"/>
      <c r="AQ70" s="20"/>
      <c r="AR70" s="289"/>
    </row>
    <row r="71" spans="2:44" ht="16.2" customHeight="1" x14ac:dyDescent="0.3">
      <c r="B71" s="424"/>
      <c r="C71" s="357" t="s">
        <v>161</v>
      </c>
      <c r="D71" s="671" t="str">
        <f>'invoer Basis'!AL21</f>
        <v>invoer Basis</v>
      </c>
      <c r="E71" s="671" t="str">
        <f>'A1'!AL21</f>
        <v>A1</v>
      </c>
      <c r="F71" s="671" t="str">
        <f>'B1'!AL21</f>
        <v>B1</v>
      </c>
      <c r="G71" s="671" t="str">
        <f>'C1'!AL21</f>
        <v>C1</v>
      </c>
      <c r="H71" s="671" t="str">
        <f>'D1'!AL21</f>
        <v>D1</v>
      </c>
      <c r="I71" s="369"/>
      <c r="J71" s="369"/>
      <c r="K71" s="369"/>
      <c r="L71" s="369"/>
      <c r="M71" s="509"/>
      <c r="N71" s="807"/>
      <c r="O71" s="807"/>
      <c r="P71" s="807"/>
      <c r="Q71" s="807"/>
      <c r="R71" s="807"/>
      <c r="S71" s="807"/>
      <c r="T71" s="807"/>
      <c r="U71" s="807"/>
      <c r="V71" s="807"/>
      <c r="W71" s="808"/>
      <c r="Y71" s="275"/>
      <c r="Z71" s="357"/>
      <c r="AA71" s="20"/>
      <c r="AB71" s="20"/>
      <c r="AC71" s="20"/>
      <c r="AD71" s="20"/>
      <c r="AE71" s="20"/>
      <c r="AF71" s="20"/>
      <c r="AG71" s="20"/>
      <c r="AH71" s="20"/>
      <c r="AI71" s="20"/>
      <c r="AJ71" s="20"/>
      <c r="AK71" s="20"/>
      <c r="AL71" s="20"/>
      <c r="AM71" s="20"/>
      <c r="AN71" s="20"/>
      <c r="AO71" s="20"/>
      <c r="AP71" s="20"/>
      <c r="AQ71" s="20"/>
      <c r="AR71" s="289"/>
    </row>
    <row r="72" spans="2:44" ht="16.2" customHeight="1" x14ac:dyDescent="0.3">
      <c r="B72" s="424"/>
      <c r="C72" s="413" t="str">
        <f>'invoer Basis'!K67</f>
        <v>MKI project [MKI]</v>
      </c>
      <c r="D72" s="736">
        <f>'invoer Basis'!N67</f>
        <v>0</v>
      </c>
      <c r="E72" s="736">
        <f>'A1'!N67</f>
        <v>0</v>
      </c>
      <c r="F72" s="736">
        <f>'B1'!N67</f>
        <v>0</v>
      </c>
      <c r="G72" s="736">
        <f>'C1'!N67</f>
        <v>0</v>
      </c>
      <c r="H72" s="736">
        <f>'D1'!N67</f>
        <v>0</v>
      </c>
      <c r="I72" s="307"/>
      <c r="J72" s="307"/>
      <c r="K72" s="307"/>
      <c r="L72" s="307"/>
      <c r="M72" s="496"/>
      <c r="N72" s="807"/>
      <c r="O72" s="807"/>
      <c r="P72" s="807"/>
      <c r="Q72" s="807"/>
      <c r="R72" s="807"/>
      <c r="S72" s="807"/>
      <c r="T72" s="807"/>
      <c r="U72" s="807"/>
      <c r="V72" s="807"/>
      <c r="W72" s="808"/>
      <c r="Y72" s="275"/>
      <c r="Z72" s="357"/>
      <c r="AA72" s="20"/>
      <c r="AB72" s="20"/>
      <c r="AC72" s="20"/>
      <c r="AD72" s="20"/>
      <c r="AE72" s="20"/>
      <c r="AF72" s="20"/>
      <c r="AG72" s="20"/>
      <c r="AH72" s="20"/>
      <c r="AI72" s="20"/>
      <c r="AJ72" s="20"/>
      <c r="AK72" s="20"/>
      <c r="AL72" s="20"/>
      <c r="AM72" s="20"/>
      <c r="AN72" s="20"/>
      <c r="AO72" s="20"/>
      <c r="AP72" s="20"/>
      <c r="AQ72" s="20"/>
      <c r="AR72" s="289"/>
    </row>
    <row r="73" spans="2:44" ht="16.2" customHeight="1" x14ac:dyDescent="0.3">
      <c r="B73" s="424"/>
      <c r="C73" s="413" t="str">
        <f>'invoer Basis'!K68</f>
        <v>MKI referentie [MKI]</v>
      </c>
      <c r="D73" s="736">
        <f>'invoer Basis'!N68</f>
        <v>0</v>
      </c>
      <c r="E73" s="736">
        <f>'A1'!N68</f>
        <v>0</v>
      </c>
      <c r="F73" s="736">
        <f>'B1'!N68</f>
        <v>0</v>
      </c>
      <c r="G73" s="736">
        <f>'C1'!N68</f>
        <v>0</v>
      </c>
      <c r="H73" s="736">
        <f>'D1'!N68</f>
        <v>0</v>
      </c>
      <c r="I73" s="307"/>
      <c r="J73" s="307"/>
      <c r="K73" s="307"/>
      <c r="L73" s="307"/>
      <c r="M73" s="496"/>
      <c r="N73" s="807"/>
      <c r="O73" s="807"/>
      <c r="P73" s="807"/>
      <c r="Q73" s="807"/>
      <c r="R73" s="807"/>
      <c r="S73" s="807"/>
      <c r="T73" s="807"/>
      <c r="U73" s="807"/>
      <c r="V73" s="807"/>
      <c r="W73" s="808"/>
      <c r="Y73" s="275"/>
      <c r="Z73" s="357"/>
      <c r="AA73" s="20"/>
      <c r="AB73" s="20"/>
      <c r="AC73" s="20"/>
      <c r="AD73" s="20"/>
      <c r="AE73" s="20"/>
      <c r="AF73" s="20"/>
      <c r="AG73" s="20"/>
      <c r="AH73" s="20"/>
      <c r="AI73" s="20"/>
      <c r="AJ73" s="20"/>
      <c r="AK73" s="20"/>
      <c r="AL73" s="20"/>
      <c r="AM73" s="20"/>
      <c r="AN73" s="20"/>
      <c r="AO73" s="20"/>
      <c r="AP73" s="20"/>
      <c r="AQ73" s="20"/>
      <c r="AR73" s="289"/>
    </row>
    <row r="74" spans="2:44" ht="16.2" customHeight="1" x14ac:dyDescent="0.3">
      <c r="B74" s="439"/>
      <c r="C74" s="492" t="str">
        <f>'invoer Basis'!AL67</f>
        <v>MKI reductie</v>
      </c>
      <c r="D74" s="676" t="str">
        <f>'invoer Basis'!AP67</f>
        <v>?</v>
      </c>
      <c r="E74" s="676" t="str">
        <f>'A1'!AP67</f>
        <v>?</v>
      </c>
      <c r="F74" s="676" t="str">
        <f>'B1'!AP67</f>
        <v>?</v>
      </c>
      <c r="G74" s="676" t="str">
        <f>'C1'!AP67</f>
        <v>?</v>
      </c>
      <c r="H74" s="676" t="str">
        <f>'D1'!AP67</f>
        <v>?</v>
      </c>
      <c r="I74" s="352"/>
      <c r="J74" s="352"/>
      <c r="K74" s="352"/>
      <c r="L74" s="352"/>
      <c r="M74" s="518"/>
      <c r="N74" s="807"/>
      <c r="O74" s="807"/>
      <c r="P74" s="807"/>
      <c r="Q74" s="807"/>
      <c r="R74" s="807"/>
      <c r="S74" s="807"/>
      <c r="T74" s="807"/>
      <c r="U74" s="807"/>
      <c r="V74" s="807"/>
      <c r="W74" s="808"/>
      <c r="Y74" s="275"/>
      <c r="Z74" s="357"/>
      <c r="AA74" s="20"/>
      <c r="AB74" s="20"/>
      <c r="AC74" s="20"/>
      <c r="AD74" s="20"/>
      <c r="AE74" s="20"/>
      <c r="AF74" s="20"/>
      <c r="AG74" s="20"/>
      <c r="AH74" s="20"/>
      <c r="AI74" s="20"/>
      <c r="AJ74" s="20"/>
      <c r="AK74" s="20"/>
      <c r="AL74" s="20"/>
      <c r="AM74" s="20"/>
      <c r="AN74" s="20"/>
      <c r="AO74" s="20"/>
      <c r="AP74" s="20"/>
      <c r="AQ74" s="20"/>
      <c r="AR74" s="289"/>
    </row>
    <row r="75" spans="2:44" ht="16.2" customHeight="1" x14ac:dyDescent="0.3">
      <c r="B75" s="424"/>
      <c r="C75" s="413" t="str">
        <f>'invoer Basis'!AL68</f>
        <v>MKIproject/MKI referentie</v>
      </c>
      <c r="D75" s="676" t="str">
        <f>'invoer Basis'!AP68</f>
        <v>?</v>
      </c>
      <c r="E75" s="676" t="str">
        <f>'A1'!AP68</f>
        <v>?</v>
      </c>
      <c r="F75" s="676" t="str">
        <f>'B1'!AP68</f>
        <v>?</v>
      </c>
      <c r="G75" s="676" t="str">
        <f>'C1'!AP68</f>
        <v>?</v>
      </c>
      <c r="H75" s="676" t="str">
        <f>'D1'!AP68</f>
        <v>?</v>
      </c>
      <c r="I75" s="467"/>
      <c r="J75" s="467"/>
      <c r="K75" s="467"/>
      <c r="L75" s="467"/>
      <c r="M75" s="519"/>
      <c r="N75" s="807"/>
      <c r="O75" s="807"/>
      <c r="P75" s="807"/>
      <c r="Q75" s="807"/>
      <c r="R75" s="807"/>
      <c r="S75" s="807"/>
      <c r="T75" s="807"/>
      <c r="U75" s="807"/>
      <c r="V75" s="807"/>
      <c r="W75" s="808"/>
      <c r="Y75" s="275"/>
      <c r="Z75" s="357"/>
      <c r="AA75" s="20"/>
      <c r="AB75" s="20"/>
      <c r="AC75" s="20"/>
      <c r="AD75" s="20"/>
      <c r="AE75" s="20"/>
      <c r="AF75" s="20"/>
      <c r="AG75" s="20"/>
      <c r="AH75" s="20"/>
      <c r="AI75" s="20"/>
      <c r="AJ75" s="20"/>
      <c r="AK75" s="20"/>
      <c r="AL75" s="20"/>
      <c r="AM75" s="20"/>
      <c r="AN75" s="20"/>
      <c r="AO75" s="20"/>
      <c r="AP75" s="20"/>
      <c r="AQ75" s="20"/>
      <c r="AR75" s="289"/>
    </row>
    <row r="76" spans="2:44" ht="16.2" customHeight="1" x14ac:dyDescent="0.3">
      <c r="B76" s="424"/>
      <c r="C76" s="357"/>
      <c r="D76" s="358"/>
      <c r="E76" s="358"/>
      <c r="F76" s="358"/>
      <c r="G76" s="358"/>
      <c r="H76" s="358"/>
      <c r="I76" s="358"/>
      <c r="J76" s="358"/>
      <c r="K76" s="358"/>
      <c r="L76" s="358"/>
      <c r="M76" s="505"/>
      <c r="N76" s="807"/>
      <c r="O76" s="807"/>
      <c r="P76" s="807"/>
      <c r="Q76" s="807"/>
      <c r="R76" s="807"/>
      <c r="S76" s="807"/>
      <c r="T76" s="807"/>
      <c r="U76" s="807"/>
      <c r="V76" s="807"/>
      <c r="W76" s="808"/>
      <c r="Y76" s="275"/>
      <c r="Z76" s="357"/>
      <c r="AA76" s="20"/>
      <c r="AB76" s="20"/>
      <c r="AC76" s="20"/>
      <c r="AD76" s="20"/>
      <c r="AE76" s="20"/>
      <c r="AF76" s="20"/>
      <c r="AG76" s="20"/>
      <c r="AH76" s="20"/>
      <c r="AI76" s="20"/>
      <c r="AJ76" s="20"/>
      <c r="AK76" s="20"/>
      <c r="AL76" s="20"/>
      <c r="AM76" s="20"/>
      <c r="AN76" s="20"/>
      <c r="AO76" s="20"/>
      <c r="AP76" s="20"/>
      <c r="AQ76" s="20"/>
      <c r="AR76" s="289"/>
    </row>
    <row r="77" spans="2:44" ht="16.2" customHeight="1" x14ac:dyDescent="0.3">
      <c r="B77" s="424"/>
      <c r="C77" s="357"/>
      <c r="D77" s="358"/>
      <c r="E77" s="358"/>
      <c r="F77" s="358"/>
      <c r="G77" s="358"/>
      <c r="H77" s="358"/>
      <c r="I77" s="358"/>
      <c r="J77" s="358"/>
      <c r="K77" s="358"/>
      <c r="L77" s="358"/>
      <c r="M77" s="505"/>
      <c r="N77" s="807"/>
      <c r="O77" s="807"/>
      <c r="P77" s="807"/>
      <c r="Q77" s="807"/>
      <c r="R77" s="807"/>
      <c r="S77" s="807"/>
      <c r="T77" s="807"/>
      <c r="U77" s="807"/>
      <c r="V77" s="807"/>
      <c r="W77" s="808"/>
      <c r="Y77" s="275"/>
      <c r="Z77" s="357"/>
      <c r="AA77" s="20"/>
      <c r="AB77" s="20"/>
      <c r="AC77" s="20"/>
      <c r="AD77" s="20"/>
      <c r="AE77" s="20"/>
      <c r="AF77" s="20"/>
      <c r="AG77" s="20"/>
      <c r="AH77" s="20"/>
      <c r="AI77" s="20"/>
      <c r="AJ77" s="20"/>
      <c r="AK77" s="20"/>
      <c r="AL77" s="20"/>
      <c r="AM77" s="20"/>
      <c r="AN77" s="20"/>
      <c r="AO77" s="20"/>
      <c r="AP77" s="20"/>
      <c r="AQ77" s="20"/>
      <c r="AR77" s="289"/>
    </row>
    <row r="78" spans="2:44" ht="16.2" customHeight="1" x14ac:dyDescent="0.3">
      <c r="B78" s="424"/>
      <c r="C78" s="413" t="str">
        <f>'invoer Basis'!K71</f>
        <v>MCI project [-]</v>
      </c>
      <c r="D78" s="675">
        <f>'invoer Basis'!N71</f>
        <v>0</v>
      </c>
      <c r="E78" s="675">
        <f>'A1'!N71</f>
        <v>0</v>
      </c>
      <c r="F78" s="675">
        <f>'B1'!N71</f>
        <v>0</v>
      </c>
      <c r="G78" s="675">
        <f>'C1'!N71</f>
        <v>0</v>
      </c>
      <c r="H78" s="675">
        <f>'D1'!N71</f>
        <v>0</v>
      </c>
      <c r="I78" s="307"/>
      <c r="J78" s="307"/>
      <c r="K78" s="307"/>
      <c r="L78" s="307"/>
      <c r="M78" s="496"/>
      <c r="N78" s="807"/>
      <c r="O78" s="807"/>
      <c r="P78" s="807"/>
      <c r="Q78" s="807"/>
      <c r="R78" s="807"/>
      <c r="S78" s="807"/>
      <c r="T78" s="807"/>
      <c r="U78" s="807"/>
      <c r="V78" s="807"/>
      <c r="W78" s="808"/>
      <c r="Y78" s="275"/>
      <c r="Z78" s="357"/>
      <c r="AA78" s="20"/>
      <c r="AB78" s="20"/>
      <c r="AC78" s="20"/>
      <c r="AD78" s="20"/>
      <c r="AE78" s="20"/>
      <c r="AF78" s="20"/>
      <c r="AG78" s="20"/>
      <c r="AH78" s="20"/>
      <c r="AI78" s="20"/>
      <c r="AJ78" s="20"/>
      <c r="AK78" s="20"/>
      <c r="AL78" s="20"/>
      <c r="AM78" s="20"/>
      <c r="AN78" s="20"/>
      <c r="AO78" s="20"/>
      <c r="AP78" s="20"/>
      <c r="AQ78" s="20"/>
      <c r="AR78" s="289"/>
    </row>
    <row r="79" spans="2:44" ht="16.2" customHeight="1" x14ac:dyDescent="0.3">
      <c r="B79" s="424"/>
      <c r="C79" s="413" t="str">
        <f>'invoer Basis'!K72</f>
        <v>MCI referentie [-]</v>
      </c>
      <c r="D79" s="675">
        <f>'invoer Basis'!N72</f>
        <v>0</v>
      </c>
      <c r="E79" s="675">
        <f>'A1'!N72</f>
        <v>0</v>
      </c>
      <c r="F79" s="675">
        <f>'B1'!N72</f>
        <v>0</v>
      </c>
      <c r="G79" s="675">
        <f>'C1'!N72</f>
        <v>0</v>
      </c>
      <c r="H79" s="675">
        <f>'D1'!N72</f>
        <v>0</v>
      </c>
      <c r="I79" s="307"/>
      <c r="J79" s="307"/>
      <c r="K79" s="307"/>
      <c r="L79" s="307"/>
      <c r="M79" s="496"/>
      <c r="N79" s="807"/>
      <c r="O79" s="807"/>
      <c r="P79" s="807"/>
      <c r="Q79" s="807"/>
      <c r="R79" s="807"/>
      <c r="S79" s="807"/>
      <c r="T79" s="807"/>
      <c r="U79" s="807"/>
      <c r="V79" s="807"/>
      <c r="W79" s="808"/>
      <c r="Y79" s="275"/>
      <c r="Z79" s="357"/>
      <c r="AA79" s="20"/>
      <c r="AB79" s="20"/>
      <c r="AC79" s="20"/>
      <c r="AD79" s="20"/>
      <c r="AE79" s="20"/>
      <c r="AF79" s="20"/>
      <c r="AG79" s="20"/>
      <c r="AH79" s="20"/>
      <c r="AI79" s="20"/>
      <c r="AJ79" s="20"/>
      <c r="AK79" s="20"/>
      <c r="AL79" s="20"/>
      <c r="AM79" s="20"/>
      <c r="AN79" s="20"/>
      <c r="AO79" s="20"/>
      <c r="AP79" s="20"/>
      <c r="AQ79" s="20"/>
      <c r="AR79" s="289"/>
    </row>
    <row r="80" spans="2:44" ht="16.2" customHeight="1" x14ac:dyDescent="0.3">
      <c r="B80" s="440"/>
      <c r="C80" s="493" t="str">
        <f>'invoer Basis'!AL71</f>
        <v>MCI reductie</v>
      </c>
      <c r="D80" s="676" t="str">
        <f>'invoer Basis'!AP71</f>
        <v>?</v>
      </c>
      <c r="E80" s="676" t="str">
        <f>'A1'!AP71</f>
        <v>?</v>
      </c>
      <c r="F80" s="676" t="str">
        <f>'B1'!AP71</f>
        <v>?</v>
      </c>
      <c r="G80" s="676" t="str">
        <f>'C1'!AP71</f>
        <v>?</v>
      </c>
      <c r="H80" s="676" t="str">
        <f>'D1'!AP71</f>
        <v>?</v>
      </c>
      <c r="I80" s="353"/>
      <c r="J80" s="353"/>
      <c r="K80" s="353"/>
      <c r="L80" s="353"/>
      <c r="M80" s="520"/>
      <c r="N80" s="807"/>
      <c r="O80" s="807"/>
      <c r="P80" s="807"/>
      <c r="Q80" s="807"/>
      <c r="R80" s="807"/>
      <c r="S80" s="807"/>
      <c r="T80" s="807"/>
      <c r="U80" s="807"/>
      <c r="V80" s="807"/>
      <c r="W80" s="808"/>
      <c r="Y80" s="275"/>
      <c r="Z80" s="357"/>
      <c r="AA80" s="20"/>
      <c r="AB80" s="20"/>
      <c r="AC80" s="20"/>
      <c r="AD80" s="20"/>
      <c r="AE80" s="20"/>
      <c r="AF80" s="20"/>
      <c r="AG80" s="20"/>
      <c r="AH80" s="20"/>
      <c r="AI80" s="20"/>
      <c r="AJ80" s="20"/>
      <c r="AK80" s="20"/>
      <c r="AL80" s="20"/>
      <c r="AM80" s="20"/>
      <c r="AN80" s="20"/>
      <c r="AO80" s="20"/>
      <c r="AP80" s="20"/>
      <c r="AQ80" s="20"/>
      <c r="AR80" s="289"/>
    </row>
    <row r="81" spans="2:44" ht="16.2" customHeight="1" x14ac:dyDescent="0.3">
      <c r="B81" s="424"/>
      <c r="C81" s="413" t="str">
        <f>'invoer Basis'!AL72</f>
        <v>MCI project-MCI referentie</v>
      </c>
      <c r="D81" s="676" t="str">
        <f>'invoer Basis'!AP72</f>
        <v>?</v>
      </c>
      <c r="E81" s="676" t="str">
        <f>'A1'!AP72</f>
        <v>?</v>
      </c>
      <c r="F81" s="676" t="str">
        <f>'B1'!AP72</f>
        <v>?</v>
      </c>
      <c r="G81" s="676" t="str">
        <f>'C1'!AP72</f>
        <v>?</v>
      </c>
      <c r="H81" s="676" t="str">
        <f>'D1'!AP72</f>
        <v>?</v>
      </c>
      <c r="I81" s="467"/>
      <c r="J81" s="467"/>
      <c r="K81" s="467"/>
      <c r="L81" s="467"/>
      <c r="M81" s="519"/>
      <c r="N81" s="807"/>
      <c r="O81" s="807"/>
      <c r="P81" s="807"/>
      <c r="Q81" s="807"/>
      <c r="R81" s="807"/>
      <c r="S81" s="807"/>
      <c r="T81" s="807"/>
      <c r="U81" s="807"/>
      <c r="V81" s="807"/>
      <c r="W81" s="808"/>
      <c r="Y81" s="275"/>
      <c r="Z81" s="357"/>
      <c r="AA81" s="20"/>
      <c r="AB81" s="20"/>
      <c r="AC81" s="20"/>
      <c r="AD81" s="20"/>
      <c r="AE81" s="20"/>
      <c r="AF81" s="20"/>
      <c r="AG81" s="20"/>
      <c r="AH81" s="20"/>
      <c r="AI81" s="20"/>
      <c r="AJ81" s="20"/>
      <c r="AK81" s="20"/>
      <c r="AL81" s="20"/>
      <c r="AM81" s="20"/>
      <c r="AN81" s="20"/>
      <c r="AO81" s="20"/>
      <c r="AP81" s="20"/>
      <c r="AQ81" s="20"/>
      <c r="AR81" s="289"/>
    </row>
    <row r="82" spans="2:44" ht="16.2" customHeight="1" x14ac:dyDescent="0.3">
      <c r="B82" s="424"/>
      <c r="C82" s="357"/>
      <c r="D82" s="358"/>
      <c r="E82" s="358"/>
      <c r="F82" s="358"/>
      <c r="G82" s="358"/>
      <c r="H82" s="358"/>
      <c r="I82" s="358"/>
      <c r="J82" s="358"/>
      <c r="K82" s="358"/>
      <c r="L82" s="358"/>
      <c r="M82" s="505"/>
      <c r="N82" s="807"/>
      <c r="O82" s="807"/>
      <c r="P82" s="807"/>
      <c r="Q82" s="807"/>
      <c r="R82" s="807"/>
      <c r="S82" s="807"/>
      <c r="T82" s="807"/>
      <c r="U82" s="807"/>
      <c r="V82" s="807"/>
      <c r="W82" s="808"/>
      <c r="Y82" s="275"/>
      <c r="Z82" s="357"/>
      <c r="AA82" s="20"/>
      <c r="AB82" s="20"/>
      <c r="AC82" s="20"/>
      <c r="AD82" s="20"/>
      <c r="AE82" s="20"/>
      <c r="AF82" s="20"/>
      <c r="AG82" s="20"/>
      <c r="AH82" s="20"/>
      <c r="AI82" s="20"/>
      <c r="AJ82" s="20"/>
      <c r="AK82" s="20"/>
      <c r="AL82" s="20"/>
      <c r="AM82" s="20"/>
      <c r="AN82" s="20"/>
      <c r="AO82" s="20"/>
      <c r="AP82" s="20"/>
      <c r="AQ82" s="20"/>
      <c r="AR82" s="289"/>
    </row>
    <row r="83" spans="2:44" ht="16.2" customHeight="1" x14ac:dyDescent="0.3">
      <c r="B83" s="424"/>
      <c r="C83" s="357"/>
      <c r="D83" s="358"/>
      <c r="E83" s="358"/>
      <c r="F83" s="358"/>
      <c r="G83" s="358"/>
      <c r="H83" s="358"/>
      <c r="I83" s="358"/>
      <c r="J83" s="358"/>
      <c r="K83" s="358"/>
      <c r="L83" s="358"/>
      <c r="M83" s="505"/>
      <c r="N83" s="807"/>
      <c r="O83" s="807"/>
      <c r="P83" s="807"/>
      <c r="Q83" s="807"/>
      <c r="R83" s="807"/>
      <c r="S83" s="807"/>
      <c r="T83" s="807"/>
      <c r="U83" s="807"/>
      <c r="V83" s="807"/>
      <c r="W83" s="808"/>
      <c r="Y83" s="275"/>
      <c r="Z83" s="357"/>
      <c r="AA83" s="20"/>
      <c r="AB83" s="20"/>
      <c r="AC83" s="20"/>
      <c r="AD83" s="20"/>
      <c r="AE83" s="20"/>
      <c r="AF83" s="20"/>
      <c r="AG83" s="20"/>
      <c r="AH83" s="20"/>
      <c r="AI83" s="20"/>
      <c r="AJ83" s="20"/>
      <c r="AK83" s="20"/>
      <c r="AL83" s="20"/>
      <c r="AM83" s="20"/>
      <c r="AN83" s="20"/>
      <c r="AO83" s="20"/>
      <c r="AP83" s="20"/>
      <c r="AQ83" s="20"/>
      <c r="AR83" s="289"/>
    </row>
    <row r="84" spans="2:44" ht="16.2" customHeight="1" x14ac:dyDescent="0.3">
      <c r="B84" s="424"/>
      <c r="C84" s="413" t="str">
        <f>'invoer Basis'!K75</f>
        <v>CO2 uitstoot project [ton CO2]</v>
      </c>
      <c r="D84" s="674">
        <f>'invoer Basis'!N75</f>
        <v>0</v>
      </c>
      <c r="E84" s="674">
        <f>'A1'!N75</f>
        <v>0</v>
      </c>
      <c r="F84" s="674">
        <f>'B1'!N75</f>
        <v>0</v>
      </c>
      <c r="G84" s="674">
        <f>'C1'!N75</f>
        <v>0</v>
      </c>
      <c r="H84" s="674">
        <f>'D1'!N75</f>
        <v>0</v>
      </c>
      <c r="I84" s="307"/>
      <c r="J84" s="307"/>
      <c r="K84" s="307"/>
      <c r="L84" s="307"/>
      <c r="M84" s="496"/>
      <c r="N84" s="807"/>
      <c r="O84" s="807"/>
      <c r="P84" s="807"/>
      <c r="Q84" s="807"/>
      <c r="R84" s="807"/>
      <c r="S84" s="807"/>
      <c r="T84" s="807"/>
      <c r="U84" s="807"/>
      <c r="V84" s="807"/>
      <c r="W84" s="808"/>
      <c r="Y84" s="275"/>
      <c r="Z84" s="357"/>
      <c r="AA84" s="20"/>
      <c r="AB84" s="20"/>
      <c r="AC84" s="20"/>
      <c r="AD84" s="20"/>
      <c r="AE84" s="20"/>
      <c r="AF84" s="20"/>
      <c r="AG84" s="20"/>
      <c r="AH84" s="20"/>
      <c r="AI84" s="20"/>
      <c r="AJ84" s="20"/>
      <c r="AK84" s="20"/>
      <c r="AL84" s="20"/>
      <c r="AM84" s="20"/>
      <c r="AN84" s="20"/>
      <c r="AO84" s="20"/>
      <c r="AP84" s="20"/>
      <c r="AQ84" s="20"/>
      <c r="AR84" s="289"/>
    </row>
    <row r="85" spans="2:44" ht="16.2" customHeight="1" x14ac:dyDescent="0.3">
      <c r="B85" s="424"/>
      <c r="C85" s="413" t="str">
        <f>'invoer Basis'!K76</f>
        <v>CO2 referentie [ton CO2]</v>
      </c>
      <c r="D85" s="674">
        <f>'invoer Basis'!N76</f>
        <v>0</v>
      </c>
      <c r="E85" s="674">
        <f>'A1'!N76</f>
        <v>0</v>
      </c>
      <c r="F85" s="674">
        <f>'B1'!N76</f>
        <v>0</v>
      </c>
      <c r="G85" s="674">
        <f>'C1'!N76</f>
        <v>0</v>
      </c>
      <c r="H85" s="674">
        <f>'D1'!N76</f>
        <v>0</v>
      </c>
      <c r="I85" s="307"/>
      <c r="J85" s="307"/>
      <c r="K85" s="307"/>
      <c r="L85" s="307"/>
      <c r="M85" s="496"/>
      <c r="N85" s="807"/>
      <c r="O85" s="807"/>
      <c r="P85" s="807"/>
      <c r="Q85" s="807"/>
      <c r="R85" s="807"/>
      <c r="S85" s="807"/>
      <c r="T85" s="807"/>
      <c r="U85" s="807"/>
      <c r="V85" s="807"/>
      <c r="W85" s="808"/>
      <c r="Y85" s="275"/>
      <c r="Z85" s="357"/>
      <c r="AA85" s="20"/>
      <c r="AB85" s="20"/>
      <c r="AC85" s="20"/>
      <c r="AD85" s="20"/>
      <c r="AE85" s="20"/>
      <c r="AF85" s="20"/>
      <c r="AG85" s="20"/>
      <c r="AH85" s="20"/>
      <c r="AI85" s="20"/>
      <c r="AJ85" s="20"/>
      <c r="AK85" s="20"/>
      <c r="AL85" s="20"/>
      <c r="AM85" s="20"/>
      <c r="AN85" s="20"/>
      <c r="AO85" s="20"/>
      <c r="AP85" s="20"/>
      <c r="AQ85" s="20"/>
      <c r="AR85" s="289"/>
    </row>
    <row r="86" spans="2:44" ht="16.2" customHeight="1" x14ac:dyDescent="0.3">
      <c r="B86" s="441"/>
      <c r="C86" s="494" t="str">
        <f>'invoer Basis'!AL75</f>
        <v>CO2 reductie</v>
      </c>
      <c r="D86" s="676" t="str">
        <f>'invoer Basis'!AP75</f>
        <v>?</v>
      </c>
      <c r="E86" s="676" t="str">
        <f>'A1'!AP75</f>
        <v>?</v>
      </c>
      <c r="F86" s="676" t="str">
        <f>'B1'!AP75</f>
        <v>?</v>
      </c>
      <c r="G86" s="676" t="str">
        <f>'C1'!AP75</f>
        <v>?</v>
      </c>
      <c r="H86" s="676" t="str">
        <f>'D1'!AP75</f>
        <v>?</v>
      </c>
      <c r="I86" s="354"/>
      <c r="J86" s="354"/>
      <c r="K86" s="354"/>
      <c r="L86" s="354"/>
      <c r="M86" s="521"/>
      <c r="N86" s="807"/>
      <c r="O86" s="807"/>
      <c r="P86" s="807"/>
      <c r="Q86" s="807"/>
      <c r="R86" s="807"/>
      <c r="S86" s="807"/>
      <c r="T86" s="807"/>
      <c r="U86" s="807"/>
      <c r="V86" s="807"/>
      <c r="W86" s="808"/>
      <c r="Y86" s="275"/>
      <c r="Z86" s="357"/>
      <c r="AA86" s="20"/>
      <c r="AB86" s="20"/>
      <c r="AC86" s="20"/>
      <c r="AD86" s="20"/>
      <c r="AE86" s="20"/>
      <c r="AF86" s="20"/>
      <c r="AG86" s="20"/>
      <c r="AH86" s="20"/>
      <c r="AI86" s="20"/>
      <c r="AJ86" s="20"/>
      <c r="AK86" s="20"/>
      <c r="AL86" s="20"/>
      <c r="AM86" s="20"/>
      <c r="AN86" s="20"/>
      <c r="AO86" s="20"/>
      <c r="AP86" s="20"/>
      <c r="AQ86" s="20"/>
      <c r="AR86" s="289"/>
    </row>
    <row r="87" spans="2:44" ht="16.2" customHeight="1" x14ac:dyDescent="0.3">
      <c r="B87" s="424"/>
      <c r="C87" s="413" t="str">
        <f>'invoer Basis'!AL76</f>
        <v>CO2project/CO2referentie</v>
      </c>
      <c r="D87" s="676" t="str">
        <f>'invoer Basis'!AP76</f>
        <v>?</v>
      </c>
      <c r="E87" s="676" t="str">
        <f>'A1'!AP76</f>
        <v>?</v>
      </c>
      <c r="F87" s="676" t="str">
        <f>'B1'!AP76</f>
        <v>?</v>
      </c>
      <c r="G87" s="676" t="str">
        <f>'C1'!AP76</f>
        <v>?</v>
      </c>
      <c r="H87" s="676" t="str">
        <f>'D1'!AP76</f>
        <v>?</v>
      </c>
      <c r="I87" s="467"/>
      <c r="J87" s="467"/>
      <c r="K87" s="467"/>
      <c r="L87" s="467"/>
      <c r="M87" s="519"/>
      <c r="N87" s="807"/>
      <c r="O87" s="807"/>
      <c r="P87" s="807"/>
      <c r="Q87" s="807"/>
      <c r="R87" s="807"/>
      <c r="S87" s="807"/>
      <c r="T87" s="807"/>
      <c r="U87" s="807"/>
      <c r="V87" s="807"/>
      <c r="W87" s="808"/>
      <c r="Y87" s="275"/>
      <c r="Z87" s="357"/>
      <c r="AA87" s="20"/>
      <c r="AB87" s="20"/>
      <c r="AC87" s="20"/>
      <c r="AD87" s="20"/>
      <c r="AE87" s="20"/>
      <c r="AF87" s="20"/>
      <c r="AG87" s="20"/>
      <c r="AH87" s="20"/>
      <c r="AI87" s="20"/>
      <c r="AJ87" s="20"/>
      <c r="AK87" s="20"/>
      <c r="AL87" s="20"/>
      <c r="AM87" s="20"/>
      <c r="AN87" s="20"/>
      <c r="AO87" s="20"/>
      <c r="AP87" s="20"/>
      <c r="AQ87" s="20"/>
      <c r="AR87" s="289"/>
    </row>
    <row r="88" spans="2:44" ht="16.2" customHeight="1" x14ac:dyDescent="0.3">
      <c r="B88" s="424"/>
      <c r="C88" s="357"/>
      <c r="D88" s="358"/>
      <c r="E88" s="358"/>
      <c r="F88" s="358"/>
      <c r="G88" s="358"/>
      <c r="H88" s="358"/>
      <c r="I88" s="358"/>
      <c r="J88" s="358"/>
      <c r="K88" s="358"/>
      <c r="L88" s="358"/>
      <c r="M88" s="505"/>
      <c r="N88" s="807"/>
      <c r="O88" s="807"/>
      <c r="P88" s="807"/>
      <c r="Q88" s="807"/>
      <c r="R88" s="807"/>
      <c r="S88" s="807"/>
      <c r="T88" s="807"/>
      <c r="U88" s="807"/>
      <c r="V88" s="807"/>
      <c r="W88" s="808"/>
      <c r="Y88" s="275"/>
      <c r="Z88" s="357"/>
      <c r="AA88" s="20"/>
      <c r="AB88" s="20"/>
      <c r="AC88" s="20"/>
      <c r="AD88" s="20"/>
      <c r="AE88" s="20"/>
      <c r="AF88" s="20"/>
      <c r="AG88" s="20"/>
      <c r="AH88" s="20"/>
      <c r="AI88" s="20"/>
      <c r="AJ88" s="20"/>
      <c r="AK88" s="20"/>
      <c r="AL88" s="20"/>
      <c r="AM88" s="20"/>
      <c r="AN88" s="20"/>
      <c r="AO88" s="20"/>
      <c r="AP88" s="20"/>
      <c r="AQ88" s="20"/>
      <c r="AR88" s="289"/>
    </row>
    <row r="89" spans="2:44" ht="16.2" customHeight="1" x14ac:dyDescent="0.3">
      <c r="B89" s="424"/>
      <c r="C89" s="457" t="s">
        <v>164</v>
      </c>
      <c r="D89" s="404"/>
      <c r="E89" s="404"/>
      <c r="F89" s="404"/>
      <c r="G89" s="404"/>
      <c r="H89" s="404"/>
      <c r="I89" s="404"/>
      <c r="J89" s="404"/>
      <c r="K89" s="404"/>
      <c r="L89" s="404"/>
      <c r="M89" s="522"/>
      <c r="N89" s="807"/>
      <c r="O89" s="807"/>
      <c r="P89" s="807"/>
      <c r="Q89" s="807"/>
      <c r="R89" s="807"/>
      <c r="S89" s="807"/>
      <c r="T89" s="807"/>
      <c r="U89" s="807"/>
      <c r="V89" s="807"/>
      <c r="W89" s="808"/>
      <c r="Y89" s="275"/>
      <c r="Z89" s="357"/>
      <c r="AA89" s="20"/>
      <c r="AB89" s="20"/>
      <c r="AC89" s="20"/>
      <c r="AD89" s="20"/>
      <c r="AE89" s="20"/>
      <c r="AF89" s="20"/>
      <c r="AG89" s="20"/>
      <c r="AH89" s="20"/>
      <c r="AI89" s="20"/>
      <c r="AJ89" s="20"/>
      <c r="AK89" s="20"/>
      <c r="AL89" s="20"/>
      <c r="AM89" s="20"/>
      <c r="AN89" s="20"/>
      <c r="AO89" s="20"/>
      <c r="AP89" s="20"/>
      <c r="AQ89" s="20"/>
      <c r="AR89" s="289"/>
    </row>
    <row r="90" spans="2:44" ht="16.2" customHeight="1" x14ac:dyDescent="0.3">
      <c r="B90" s="424"/>
      <c r="C90" s="413" t="str">
        <f>'invoer Basis'!AP9</f>
        <v>datum:</v>
      </c>
      <c r="D90" s="677">
        <f>'invoer Basis'!N11</f>
        <v>43831</v>
      </c>
      <c r="E90" s="677" t="str">
        <f>'A1'!N11</f>
        <v>A3</v>
      </c>
      <c r="F90" s="677" t="str">
        <f>'B1'!N11</f>
        <v>B3</v>
      </c>
      <c r="G90" s="677" t="str">
        <f>'C1'!N11</f>
        <v>C3</v>
      </c>
      <c r="H90" s="677" t="str">
        <f>'D1'!N11</f>
        <v>D3</v>
      </c>
      <c r="I90" s="307"/>
      <c r="J90" s="307"/>
      <c r="K90" s="307"/>
      <c r="L90" s="307"/>
      <c r="M90" s="496"/>
      <c r="N90" s="807"/>
      <c r="O90" s="807"/>
      <c r="P90" s="807"/>
      <c r="Q90" s="807"/>
      <c r="R90" s="807"/>
      <c r="S90" s="807"/>
      <c r="T90" s="807"/>
      <c r="U90" s="807"/>
      <c r="V90" s="807"/>
      <c r="W90" s="808"/>
      <c r="X90" s="1"/>
      <c r="Y90" s="693"/>
      <c r="Z90" s="582"/>
      <c r="AA90" s="167"/>
      <c r="AB90" s="167"/>
      <c r="AC90" s="20"/>
      <c r="AD90" s="20"/>
      <c r="AE90" s="20"/>
      <c r="AF90" s="20"/>
      <c r="AG90" s="20"/>
      <c r="AH90" s="20"/>
      <c r="AI90" s="20"/>
      <c r="AJ90" s="20"/>
      <c r="AK90" s="20"/>
      <c r="AL90" s="20"/>
      <c r="AM90" s="20"/>
      <c r="AN90" s="20"/>
      <c r="AO90" s="20"/>
      <c r="AP90" s="20"/>
      <c r="AQ90" s="20"/>
      <c r="AR90" s="289"/>
    </row>
    <row r="91" spans="2:44" ht="16.2" customHeight="1" x14ac:dyDescent="0.3">
      <c r="B91" s="424"/>
      <c r="C91" s="438" t="s">
        <v>165</v>
      </c>
      <c r="D91" s="438"/>
      <c r="E91" s="438"/>
      <c r="F91" s="438"/>
      <c r="G91" s="438"/>
      <c r="H91" s="438"/>
      <c r="I91" s="438"/>
      <c r="J91" s="438"/>
      <c r="K91" s="438"/>
      <c r="L91" s="438"/>
      <c r="M91" s="438"/>
      <c r="N91" s="807"/>
      <c r="O91" s="807"/>
      <c r="P91" s="807"/>
      <c r="Q91" s="807"/>
      <c r="R91" s="807"/>
      <c r="S91" s="807"/>
      <c r="T91" s="807"/>
      <c r="U91" s="807"/>
      <c r="V91" s="807"/>
      <c r="W91" s="808"/>
      <c r="X91" s="167"/>
      <c r="Y91" s="693"/>
      <c r="Z91" s="167"/>
      <c r="AA91" s="167"/>
      <c r="AB91" s="692"/>
      <c r="AC91" s="20"/>
      <c r="AD91" s="20"/>
      <c r="AE91" s="357"/>
      <c r="AF91" s="20"/>
      <c r="AG91" s="20"/>
      <c r="AH91" s="20"/>
      <c r="AI91" s="20"/>
      <c r="AJ91" s="20"/>
      <c r="AK91" s="20"/>
      <c r="AL91" s="20"/>
      <c r="AM91" s="20"/>
      <c r="AN91" s="20"/>
      <c r="AO91" s="20"/>
      <c r="AP91" s="20"/>
      <c r="AQ91" s="20"/>
      <c r="AR91" s="289"/>
    </row>
    <row r="92" spans="2:44" ht="16.2" customHeight="1" x14ac:dyDescent="0.3">
      <c r="B92" s="424"/>
      <c r="C92" s="735" t="s">
        <v>415</v>
      </c>
      <c r="D92" s="674" t="str">
        <f>'invoer Basis'!AP21</f>
        <v>-</v>
      </c>
      <c r="E92" s="674" t="str">
        <f>'A1'!AP21</f>
        <v>-</v>
      </c>
      <c r="F92" s="674" t="str">
        <f>'B1'!AP21</f>
        <v>-</v>
      </c>
      <c r="G92" s="674" t="str">
        <f>'C1'!AP21</f>
        <v>-</v>
      </c>
      <c r="H92" s="674" t="str">
        <f>'D1'!AP21</f>
        <v>-</v>
      </c>
      <c r="I92" s="468"/>
      <c r="J92" s="468"/>
      <c r="K92" s="468"/>
      <c r="L92" s="468"/>
      <c r="M92" s="523"/>
      <c r="N92" s="807"/>
      <c r="O92" s="807"/>
      <c r="P92" s="807"/>
      <c r="Q92" s="807"/>
      <c r="R92" s="807"/>
      <c r="S92" s="807"/>
      <c r="T92" s="807"/>
      <c r="U92" s="807"/>
      <c r="V92" s="807"/>
      <c r="W92" s="808"/>
      <c r="X92" s="1"/>
      <c r="Y92" s="693"/>
      <c r="Z92" s="582"/>
      <c r="AA92" s="167"/>
      <c r="AB92" s="167"/>
      <c r="AC92" s="20"/>
      <c r="AD92" s="20"/>
      <c r="AE92" s="20"/>
      <c r="AF92" s="20"/>
      <c r="AG92" s="20"/>
      <c r="AH92" s="20"/>
      <c r="AI92" s="20"/>
      <c r="AJ92" s="20"/>
      <c r="AK92" s="20"/>
      <c r="AL92" s="20"/>
      <c r="AM92" s="20"/>
      <c r="AN92" s="20"/>
      <c r="AO92" s="20"/>
      <c r="AP92" s="20"/>
      <c r="AQ92" s="20"/>
      <c r="AR92" s="289"/>
    </row>
    <row r="93" spans="2:44" ht="16.2" customHeight="1" x14ac:dyDescent="0.3">
      <c r="B93" s="424"/>
      <c r="C93" s="438" t="s">
        <v>166</v>
      </c>
      <c r="D93" s="466"/>
      <c r="E93" s="466"/>
      <c r="F93" s="466"/>
      <c r="G93" s="466"/>
      <c r="H93" s="466"/>
      <c r="I93" s="466"/>
      <c r="J93" s="466"/>
      <c r="K93" s="466"/>
      <c r="L93" s="466"/>
      <c r="M93" s="524"/>
      <c r="N93" s="807"/>
      <c r="O93" s="807"/>
      <c r="P93" s="807"/>
      <c r="Q93" s="807"/>
      <c r="R93" s="807"/>
      <c r="S93" s="807"/>
      <c r="T93" s="807"/>
      <c r="U93" s="807"/>
      <c r="V93" s="807"/>
      <c r="W93" s="808"/>
      <c r="Y93" s="275"/>
      <c r="Z93" s="357"/>
      <c r="AA93" s="20"/>
      <c r="AB93" s="20"/>
      <c r="AC93" s="20"/>
      <c r="AD93" s="20"/>
      <c r="AE93" s="20"/>
      <c r="AF93" s="20"/>
      <c r="AG93" s="20"/>
      <c r="AH93" s="20"/>
      <c r="AI93" s="20"/>
      <c r="AJ93" s="20"/>
      <c r="AK93" s="20"/>
      <c r="AL93" s="20"/>
      <c r="AM93" s="20"/>
      <c r="AN93" s="20"/>
      <c r="AO93" s="20"/>
      <c r="AP93" s="20"/>
      <c r="AQ93" s="20"/>
      <c r="AR93" s="289"/>
    </row>
    <row r="94" spans="2:44" ht="16.2" customHeight="1" x14ac:dyDescent="0.3">
      <c r="B94" s="424"/>
      <c r="C94" s="413" t="s">
        <v>366</v>
      </c>
      <c r="D94" s="676" t="str">
        <f>'invoer Basis'!AP67</f>
        <v>?</v>
      </c>
      <c r="E94" s="676" t="str">
        <f>'A1'!AP67</f>
        <v>?</v>
      </c>
      <c r="F94" s="676" t="str">
        <f>'B1'!AP67</f>
        <v>?</v>
      </c>
      <c r="G94" s="676" t="str">
        <f>'C1'!AP67</f>
        <v>?</v>
      </c>
      <c r="H94" s="676" t="str">
        <f>'D1'!AP67</f>
        <v>?</v>
      </c>
      <c r="I94" s="469"/>
      <c r="J94" s="469"/>
      <c r="K94" s="469"/>
      <c r="L94" s="469"/>
      <c r="M94" s="525"/>
      <c r="N94" s="807"/>
      <c r="O94" s="807"/>
      <c r="P94" s="807"/>
      <c r="Q94" s="807"/>
      <c r="R94" s="807"/>
      <c r="S94" s="807"/>
      <c r="T94" s="807"/>
      <c r="U94" s="807"/>
      <c r="V94" s="807"/>
      <c r="W94" s="808"/>
      <c r="Y94" s="275"/>
      <c r="Z94" s="357"/>
      <c r="AA94" s="20"/>
      <c r="AB94" s="20"/>
      <c r="AC94" s="20"/>
      <c r="AD94" s="20"/>
      <c r="AE94" s="20"/>
      <c r="AF94" s="20"/>
      <c r="AG94" s="20"/>
      <c r="AH94" s="20"/>
      <c r="AI94" s="20"/>
      <c r="AJ94" s="20"/>
      <c r="AK94" s="20"/>
      <c r="AL94" s="20"/>
      <c r="AM94" s="20"/>
      <c r="AN94" s="20"/>
      <c r="AO94" s="20"/>
      <c r="AP94" s="20"/>
      <c r="AQ94" s="20"/>
      <c r="AR94" s="289"/>
    </row>
    <row r="95" spans="2:44" ht="16.2" customHeight="1" x14ac:dyDescent="0.3">
      <c r="B95" s="424"/>
      <c r="C95" s="413" t="s">
        <v>367</v>
      </c>
      <c r="D95" s="676" t="str">
        <f>'invoer Basis'!AP71</f>
        <v>?</v>
      </c>
      <c r="E95" s="676" t="str">
        <f>'A1'!AP71</f>
        <v>?</v>
      </c>
      <c r="F95" s="676" t="str">
        <f>'B1'!AP71</f>
        <v>?</v>
      </c>
      <c r="G95" s="676" t="str">
        <f>'C1'!AP71</f>
        <v>?</v>
      </c>
      <c r="H95" s="676" t="str">
        <f>'D1'!AP71</f>
        <v>?</v>
      </c>
      <c r="I95" s="469"/>
      <c r="J95" s="469"/>
      <c r="K95" s="469"/>
      <c r="L95" s="469"/>
      <c r="M95" s="525"/>
      <c r="N95" s="807"/>
      <c r="O95" s="807"/>
      <c r="P95" s="807"/>
      <c r="Q95" s="807"/>
      <c r="R95" s="807"/>
      <c r="S95" s="807"/>
      <c r="T95" s="807"/>
      <c r="U95" s="807"/>
      <c r="V95" s="807"/>
      <c r="W95" s="808"/>
      <c r="Y95" s="275"/>
      <c r="Z95" s="357"/>
      <c r="AA95" s="20"/>
      <c r="AB95" s="20"/>
      <c r="AC95" s="20"/>
      <c r="AD95" s="20"/>
      <c r="AE95" s="20"/>
      <c r="AF95" s="20"/>
      <c r="AG95" s="20"/>
      <c r="AH95" s="20"/>
      <c r="AI95" s="20"/>
      <c r="AJ95" s="20"/>
      <c r="AK95" s="20"/>
      <c r="AL95" s="20"/>
      <c r="AM95" s="20"/>
      <c r="AN95" s="20"/>
      <c r="AO95" s="20"/>
      <c r="AP95" s="20"/>
      <c r="AQ95" s="20"/>
      <c r="AR95" s="289"/>
    </row>
    <row r="96" spans="2:44" ht="16.2" customHeight="1" thickBot="1" x14ac:dyDescent="0.35">
      <c r="B96" s="437"/>
      <c r="C96" s="526" t="s">
        <v>368</v>
      </c>
      <c r="D96" s="679" t="str">
        <f>'invoer Basis'!AP75</f>
        <v>?</v>
      </c>
      <c r="E96" s="679" t="str">
        <f>'A1'!AP75</f>
        <v>?</v>
      </c>
      <c r="F96" s="679" t="str">
        <f>'B1'!AP75</f>
        <v>?</v>
      </c>
      <c r="G96" s="679" t="str">
        <f>'C1'!AP75</f>
        <v>?</v>
      </c>
      <c r="H96" s="679" t="str">
        <f>'D1'!AP75</f>
        <v>?</v>
      </c>
      <c r="I96" s="527"/>
      <c r="J96" s="527"/>
      <c r="K96" s="527"/>
      <c r="L96" s="527"/>
      <c r="M96" s="528"/>
      <c r="N96" s="809"/>
      <c r="O96" s="809"/>
      <c r="P96" s="809"/>
      <c r="Q96" s="809"/>
      <c r="R96" s="809"/>
      <c r="S96" s="809"/>
      <c r="T96" s="809"/>
      <c r="U96" s="809"/>
      <c r="V96" s="809"/>
      <c r="W96" s="810"/>
      <c r="Y96" s="275"/>
      <c r="Z96" s="357"/>
      <c r="AA96" s="20"/>
      <c r="AB96" s="20"/>
      <c r="AC96" s="20"/>
      <c r="AD96" s="20"/>
      <c r="AE96" s="20"/>
      <c r="AF96" s="20"/>
      <c r="AG96" s="20"/>
      <c r="AH96" s="20"/>
      <c r="AI96" s="20"/>
      <c r="AJ96" s="20"/>
      <c r="AK96" s="20"/>
      <c r="AL96" s="20"/>
      <c r="AM96" s="20"/>
      <c r="AN96" s="20"/>
      <c r="AO96" s="20"/>
      <c r="AP96" s="20"/>
      <c r="AQ96" s="20"/>
      <c r="AR96" s="289"/>
    </row>
    <row r="97" spans="2:44" ht="16.2" customHeight="1" x14ac:dyDescent="0.3">
      <c r="B97" s="275"/>
      <c r="C97" s="357"/>
      <c r="D97" s="369"/>
      <c r="E97" s="358"/>
      <c r="F97" s="358"/>
      <c r="G97" s="358"/>
      <c r="H97" s="358"/>
      <c r="I97" s="358"/>
      <c r="J97" s="358"/>
      <c r="K97" s="358"/>
      <c r="L97" s="358"/>
      <c r="M97" s="358"/>
      <c r="N97" s="403"/>
      <c r="O97" s="20"/>
      <c r="P97" s="20"/>
      <c r="Q97" s="20"/>
      <c r="R97" s="20"/>
      <c r="S97" s="20"/>
      <c r="T97" s="20"/>
      <c r="U97" s="20"/>
      <c r="V97" s="20"/>
      <c r="W97" s="289"/>
      <c r="Y97" s="275"/>
      <c r="Z97" s="357"/>
      <c r="AA97" s="20"/>
      <c r="AB97" s="20"/>
      <c r="AC97" s="20"/>
      <c r="AD97" s="20"/>
      <c r="AE97" s="20"/>
      <c r="AF97" s="20"/>
      <c r="AG97" s="20"/>
      <c r="AH97" s="20"/>
      <c r="AI97" s="20"/>
      <c r="AJ97" s="20"/>
      <c r="AK97" s="20"/>
      <c r="AL97" s="20"/>
      <c r="AM97" s="20"/>
      <c r="AN97" s="20"/>
      <c r="AO97" s="20"/>
      <c r="AP97" s="20"/>
      <c r="AQ97" s="20"/>
      <c r="AR97" s="289"/>
    </row>
    <row r="98" spans="2:44" ht="16.2" customHeight="1" x14ac:dyDescent="0.3">
      <c r="B98" s="275"/>
      <c r="C98" s="357"/>
      <c r="D98" s="369"/>
      <c r="E98" s="358"/>
      <c r="F98" s="358"/>
      <c r="G98" s="358"/>
      <c r="H98" s="358"/>
      <c r="I98" s="358"/>
      <c r="J98" s="358"/>
      <c r="K98" s="358"/>
      <c r="L98" s="358"/>
      <c r="M98" s="358"/>
      <c r="N98" s="403"/>
      <c r="O98" s="20"/>
      <c r="P98" s="20"/>
      <c r="Q98" s="20"/>
      <c r="R98" s="20"/>
      <c r="S98" s="20"/>
      <c r="T98" s="20"/>
      <c r="U98" s="20"/>
      <c r="V98" s="20"/>
      <c r="W98" s="289"/>
      <c r="Y98" s="275"/>
      <c r="Z98" s="357"/>
      <c r="AA98" s="20"/>
      <c r="AB98" s="20"/>
      <c r="AC98" s="20"/>
      <c r="AD98" s="20"/>
      <c r="AE98" s="20"/>
      <c r="AF98" s="20"/>
      <c r="AG98" s="20"/>
      <c r="AH98" s="20"/>
      <c r="AI98" s="20"/>
      <c r="AJ98" s="20"/>
      <c r="AK98" s="20"/>
      <c r="AL98" s="20"/>
      <c r="AM98" s="20"/>
      <c r="AN98" s="20"/>
      <c r="AO98" s="20"/>
      <c r="AP98" s="20"/>
      <c r="AQ98" s="20"/>
      <c r="AR98" s="289"/>
    </row>
    <row r="99" spans="2:44" ht="16.2" customHeight="1" x14ac:dyDescent="0.3">
      <c r="B99" s="275"/>
      <c r="C99" s="357"/>
      <c r="D99" s="369"/>
      <c r="E99" s="358"/>
      <c r="F99" s="358"/>
      <c r="G99" s="358"/>
      <c r="H99" s="358"/>
      <c r="I99" s="358"/>
      <c r="J99" s="358"/>
      <c r="K99" s="358"/>
      <c r="L99" s="358"/>
      <c r="M99" s="358"/>
      <c r="N99" s="403"/>
      <c r="O99" s="20"/>
      <c r="P99" s="20"/>
      <c r="Q99" s="20"/>
      <c r="R99" s="20"/>
      <c r="S99" s="20"/>
      <c r="T99" s="20"/>
      <c r="U99" s="20"/>
      <c r="V99" s="20"/>
      <c r="W99" s="289"/>
      <c r="Y99" s="275"/>
      <c r="Z99" s="357"/>
      <c r="AA99" s="20"/>
      <c r="AB99" s="20"/>
      <c r="AC99" s="20"/>
      <c r="AD99" s="20"/>
      <c r="AE99" s="20"/>
      <c r="AF99" s="20"/>
      <c r="AG99" s="20"/>
      <c r="AH99" s="20"/>
      <c r="AI99" s="20"/>
      <c r="AJ99" s="20"/>
      <c r="AK99" s="20"/>
      <c r="AL99" s="20"/>
      <c r="AM99" s="20"/>
      <c r="AN99" s="20"/>
      <c r="AO99" s="20"/>
      <c r="AP99" s="20"/>
      <c r="AQ99" s="20"/>
      <c r="AR99" s="289"/>
    </row>
    <row r="100" spans="2:44" ht="16.2" customHeight="1" x14ac:dyDescent="0.3">
      <c r="B100" s="275"/>
      <c r="C100" s="357"/>
      <c r="D100" s="369"/>
      <c r="E100" s="358"/>
      <c r="F100" s="358"/>
      <c r="G100" s="358"/>
      <c r="H100" s="358"/>
      <c r="I100" s="358"/>
      <c r="J100" s="358"/>
      <c r="K100" s="358"/>
      <c r="L100" s="358"/>
      <c r="M100" s="358"/>
      <c r="N100" s="403"/>
      <c r="O100" s="20"/>
      <c r="P100" s="20"/>
      <c r="Q100" s="20"/>
      <c r="R100" s="20"/>
      <c r="S100" s="20"/>
      <c r="T100" s="20"/>
      <c r="U100" s="20"/>
      <c r="V100" s="20"/>
      <c r="W100" s="289"/>
      <c r="Y100" s="275"/>
      <c r="Z100" s="357"/>
      <c r="AA100" s="20"/>
      <c r="AB100" s="20"/>
      <c r="AC100" s="20"/>
      <c r="AD100" s="20"/>
      <c r="AE100" s="20"/>
      <c r="AF100" s="20"/>
      <c r="AG100" s="20"/>
      <c r="AH100" s="20"/>
      <c r="AI100" s="20"/>
      <c r="AJ100" s="20"/>
      <c r="AK100" s="20"/>
      <c r="AL100" s="20"/>
      <c r="AM100" s="20"/>
      <c r="AN100" s="20"/>
      <c r="AO100" s="20"/>
      <c r="AP100" s="20"/>
      <c r="AQ100" s="20"/>
      <c r="AR100" s="289"/>
    </row>
    <row r="101" spans="2:44" ht="16.2" customHeight="1" x14ac:dyDescent="0.3">
      <c r="B101" s="275"/>
      <c r="C101" s="357"/>
      <c r="D101" s="369"/>
      <c r="E101" s="358"/>
      <c r="F101" s="358"/>
      <c r="G101" s="358"/>
      <c r="H101" s="358"/>
      <c r="I101" s="358"/>
      <c r="J101" s="358"/>
      <c r="K101" s="358"/>
      <c r="L101" s="358"/>
      <c r="M101" s="358"/>
      <c r="N101" s="403"/>
      <c r="O101" s="20"/>
      <c r="P101" s="20"/>
      <c r="Q101" s="20"/>
      <c r="R101" s="20"/>
      <c r="S101" s="20"/>
      <c r="T101" s="20"/>
      <c r="U101" s="20"/>
      <c r="V101" s="20"/>
      <c r="W101" s="289"/>
      <c r="Y101" s="275"/>
      <c r="Z101" s="357"/>
      <c r="AA101" s="20"/>
      <c r="AB101" s="20"/>
      <c r="AC101" s="20"/>
      <c r="AD101" s="20"/>
      <c r="AE101" s="20"/>
      <c r="AF101" s="20"/>
      <c r="AG101" s="20"/>
      <c r="AH101" s="20"/>
      <c r="AI101" s="20"/>
      <c r="AJ101" s="20"/>
      <c r="AK101" s="20"/>
      <c r="AL101" s="20"/>
      <c r="AM101" s="20"/>
      <c r="AN101" s="20"/>
      <c r="AO101" s="20"/>
      <c r="AP101" s="20"/>
      <c r="AQ101" s="20"/>
      <c r="AR101" s="289"/>
    </row>
    <row r="102" spans="2:44" ht="16.2" customHeight="1" x14ac:dyDescent="0.3">
      <c r="B102" s="275"/>
      <c r="C102" s="357"/>
      <c r="D102" s="369"/>
      <c r="E102" s="358"/>
      <c r="F102" s="358"/>
      <c r="G102" s="358"/>
      <c r="H102" s="358"/>
      <c r="I102" s="358"/>
      <c r="J102" s="358"/>
      <c r="K102" s="358"/>
      <c r="L102" s="358"/>
      <c r="M102" s="358"/>
      <c r="N102" s="403"/>
      <c r="O102" s="20"/>
      <c r="P102" s="20"/>
      <c r="Q102" s="20"/>
      <c r="R102" s="20"/>
      <c r="S102" s="20"/>
      <c r="T102" s="20"/>
      <c r="U102" s="20"/>
      <c r="V102" s="20"/>
      <c r="W102" s="289"/>
      <c r="Y102" s="275"/>
      <c r="Z102" s="357"/>
      <c r="AA102" s="20"/>
      <c r="AB102" s="20"/>
      <c r="AC102" s="20"/>
      <c r="AD102" s="20"/>
      <c r="AE102" s="20"/>
      <c r="AF102" s="20"/>
      <c r="AG102" s="20"/>
      <c r="AH102" s="20"/>
      <c r="AI102" s="20"/>
      <c r="AJ102" s="20"/>
      <c r="AK102" s="20"/>
      <c r="AL102" s="20"/>
      <c r="AM102" s="20"/>
      <c r="AN102" s="20"/>
      <c r="AO102" s="20"/>
      <c r="AP102" s="20"/>
      <c r="AQ102" s="20"/>
      <c r="AR102" s="289"/>
    </row>
    <row r="103" spans="2:44" ht="16.2" customHeight="1" x14ac:dyDescent="0.3">
      <c r="B103" s="275"/>
      <c r="C103" s="357"/>
      <c r="D103" s="369"/>
      <c r="E103" s="358"/>
      <c r="F103" s="358"/>
      <c r="G103" s="358"/>
      <c r="H103" s="358"/>
      <c r="I103" s="358"/>
      <c r="J103" s="358"/>
      <c r="K103" s="358"/>
      <c r="L103" s="358"/>
      <c r="M103" s="358"/>
      <c r="N103" s="403"/>
      <c r="O103" s="20"/>
      <c r="P103" s="20"/>
      <c r="Q103" s="20"/>
      <c r="R103" s="20"/>
      <c r="S103" s="20"/>
      <c r="T103" s="20"/>
      <c r="U103" s="20"/>
      <c r="V103" s="20"/>
      <c r="W103" s="289"/>
      <c r="Y103" s="275"/>
      <c r="Z103" s="357"/>
      <c r="AA103" s="20"/>
      <c r="AB103" s="20"/>
      <c r="AC103" s="20"/>
      <c r="AD103" s="20"/>
      <c r="AE103" s="20"/>
      <c r="AF103" s="20"/>
      <c r="AG103" s="20"/>
      <c r="AH103" s="20"/>
      <c r="AI103" s="20"/>
      <c r="AJ103" s="20"/>
      <c r="AK103" s="20"/>
      <c r="AL103" s="20"/>
      <c r="AM103" s="20"/>
      <c r="AN103" s="20"/>
      <c r="AO103" s="20"/>
      <c r="AP103" s="20"/>
      <c r="AQ103" s="20"/>
      <c r="AR103" s="289"/>
    </row>
    <row r="104" spans="2:44" ht="16.2" customHeight="1" x14ac:dyDescent="0.3">
      <c r="B104" s="275"/>
      <c r="C104" s="357"/>
      <c r="D104" s="369"/>
      <c r="E104" s="358"/>
      <c r="F104" s="358"/>
      <c r="G104" s="358"/>
      <c r="H104" s="358"/>
      <c r="I104" s="358"/>
      <c r="J104" s="358"/>
      <c r="K104" s="358"/>
      <c r="L104" s="358"/>
      <c r="M104" s="358"/>
      <c r="N104" s="403"/>
      <c r="O104" s="20"/>
      <c r="P104" s="20"/>
      <c r="Q104" s="20"/>
      <c r="R104" s="20"/>
      <c r="S104" s="20"/>
      <c r="T104" s="20"/>
      <c r="U104" s="20"/>
      <c r="V104" s="20"/>
      <c r="W104" s="289"/>
      <c r="Y104" s="275"/>
      <c r="Z104" s="357"/>
      <c r="AA104" s="20"/>
      <c r="AB104" s="20"/>
      <c r="AC104" s="20"/>
      <c r="AD104" s="20"/>
      <c r="AE104" s="20"/>
      <c r="AF104" s="20"/>
      <c r="AG104" s="20"/>
      <c r="AH104" s="20"/>
      <c r="AI104" s="20"/>
      <c r="AJ104" s="20"/>
      <c r="AK104" s="20"/>
      <c r="AL104" s="20"/>
      <c r="AM104" s="20"/>
      <c r="AN104" s="20"/>
      <c r="AO104" s="20"/>
      <c r="AP104" s="20"/>
      <c r="AQ104" s="20"/>
      <c r="AR104" s="289"/>
    </row>
    <row r="105" spans="2:44" ht="16.2" customHeight="1" x14ac:dyDescent="0.3">
      <c r="B105" s="275"/>
      <c r="C105" s="357"/>
      <c r="D105" s="369"/>
      <c r="E105" s="358"/>
      <c r="F105" s="358"/>
      <c r="G105" s="358"/>
      <c r="H105" s="358"/>
      <c r="I105" s="358"/>
      <c r="J105" s="358"/>
      <c r="K105" s="358"/>
      <c r="L105" s="358"/>
      <c r="M105" s="358"/>
      <c r="N105" s="403"/>
      <c r="O105" s="20"/>
      <c r="P105" s="20"/>
      <c r="Q105" s="20"/>
      <c r="R105" s="20"/>
      <c r="S105" s="20"/>
      <c r="T105" s="20"/>
      <c r="U105" s="20"/>
      <c r="V105" s="20"/>
      <c r="W105" s="289"/>
      <c r="Y105" s="275"/>
      <c r="Z105" s="357"/>
      <c r="AA105" s="20"/>
      <c r="AB105" s="20"/>
      <c r="AC105" s="20"/>
      <c r="AD105" s="20"/>
      <c r="AE105" s="20"/>
      <c r="AF105" s="20"/>
      <c r="AG105" s="20"/>
      <c r="AH105" s="20"/>
      <c r="AI105" s="20"/>
      <c r="AJ105" s="20"/>
      <c r="AK105" s="20"/>
      <c r="AL105" s="20"/>
      <c r="AM105" s="20"/>
      <c r="AN105" s="20"/>
      <c r="AO105" s="20"/>
      <c r="AP105" s="20"/>
      <c r="AQ105" s="20"/>
      <c r="AR105" s="289"/>
    </row>
    <row r="106" spans="2:44" ht="16.2" customHeight="1" x14ac:dyDescent="0.3">
      <c r="B106" s="275"/>
      <c r="C106" s="357"/>
      <c r="D106" s="369"/>
      <c r="E106" s="358"/>
      <c r="F106" s="358"/>
      <c r="G106" s="358"/>
      <c r="H106" s="358"/>
      <c r="I106" s="358"/>
      <c r="J106" s="358"/>
      <c r="K106" s="358"/>
      <c r="L106" s="358"/>
      <c r="M106" s="358"/>
      <c r="N106" s="403"/>
      <c r="O106" s="20"/>
      <c r="P106" s="20"/>
      <c r="Q106" s="20"/>
      <c r="R106" s="20"/>
      <c r="S106" s="20"/>
      <c r="T106" s="20"/>
      <c r="U106" s="20"/>
      <c r="V106" s="20"/>
      <c r="W106" s="289"/>
      <c r="Y106" s="275"/>
      <c r="Z106" s="357"/>
      <c r="AA106" s="20"/>
      <c r="AB106" s="20"/>
      <c r="AC106" s="20"/>
      <c r="AD106" s="20"/>
      <c r="AE106" s="20"/>
      <c r="AF106" s="20"/>
      <c r="AG106" s="20"/>
      <c r="AH106" s="20"/>
      <c r="AI106" s="20"/>
      <c r="AJ106" s="20"/>
      <c r="AK106" s="20"/>
      <c r="AL106" s="20"/>
      <c r="AM106" s="20"/>
      <c r="AN106" s="20"/>
      <c r="AO106" s="20"/>
      <c r="AP106" s="20"/>
      <c r="AQ106" s="20"/>
      <c r="AR106" s="289"/>
    </row>
    <row r="107" spans="2:44" ht="16.2" customHeight="1" x14ac:dyDescent="0.3">
      <c r="B107" s="275"/>
      <c r="C107" s="357"/>
      <c r="D107" s="369"/>
      <c r="E107" s="358"/>
      <c r="F107" s="358"/>
      <c r="G107" s="358"/>
      <c r="H107" s="358"/>
      <c r="I107" s="358"/>
      <c r="J107" s="358"/>
      <c r="K107" s="358"/>
      <c r="L107" s="358"/>
      <c r="M107" s="358"/>
      <c r="N107" s="403"/>
      <c r="O107" s="20"/>
      <c r="P107" s="20"/>
      <c r="Q107" s="20"/>
      <c r="R107" s="20"/>
      <c r="S107" s="20"/>
      <c r="T107" s="20"/>
      <c r="U107" s="20"/>
      <c r="V107" s="20"/>
      <c r="W107" s="289"/>
      <c r="Y107" s="275"/>
      <c r="Z107" s="357"/>
      <c r="AA107" s="20"/>
      <c r="AB107" s="20"/>
      <c r="AC107" s="20"/>
      <c r="AD107" s="20"/>
      <c r="AE107" s="20"/>
      <c r="AF107" s="20"/>
      <c r="AG107" s="20"/>
      <c r="AH107" s="20"/>
      <c r="AI107" s="20"/>
      <c r="AJ107" s="20"/>
      <c r="AK107" s="20"/>
      <c r="AL107" s="20"/>
      <c r="AM107" s="20"/>
      <c r="AN107" s="20"/>
      <c r="AO107" s="20"/>
      <c r="AP107" s="20"/>
      <c r="AQ107" s="20"/>
      <c r="AR107" s="289"/>
    </row>
    <row r="108" spans="2:44" ht="16.2" customHeight="1" x14ac:dyDescent="0.3">
      <c r="B108" s="275"/>
      <c r="C108" s="357"/>
      <c r="D108" s="369"/>
      <c r="E108" s="358"/>
      <c r="F108" s="358"/>
      <c r="G108" s="358"/>
      <c r="H108" s="358"/>
      <c r="I108" s="358"/>
      <c r="J108" s="358"/>
      <c r="K108" s="358"/>
      <c r="L108" s="358"/>
      <c r="M108" s="358"/>
      <c r="N108" s="403"/>
      <c r="O108" s="20"/>
      <c r="P108" s="20"/>
      <c r="Q108" s="20"/>
      <c r="R108" s="20"/>
      <c r="S108" s="20"/>
      <c r="T108" s="20"/>
      <c r="U108" s="20"/>
      <c r="V108" s="20"/>
      <c r="W108" s="289"/>
      <c r="Y108" s="275"/>
      <c r="Z108" s="357"/>
      <c r="AA108" s="20"/>
      <c r="AB108" s="20"/>
      <c r="AC108" s="20"/>
      <c r="AD108" s="20"/>
      <c r="AE108" s="20"/>
      <c r="AF108" s="20"/>
      <c r="AG108" s="20"/>
      <c r="AH108" s="20"/>
      <c r="AI108" s="20"/>
      <c r="AJ108" s="20"/>
      <c r="AK108" s="20"/>
      <c r="AL108" s="20"/>
      <c r="AM108" s="20"/>
      <c r="AN108" s="20"/>
      <c r="AO108" s="20"/>
      <c r="AP108" s="20"/>
      <c r="AQ108" s="20"/>
      <c r="AR108" s="289"/>
    </row>
    <row r="109" spans="2:44" ht="16.2" customHeight="1" x14ac:dyDescent="0.3">
      <c r="B109" s="275"/>
      <c r="C109" s="357"/>
      <c r="D109" s="369"/>
      <c r="E109" s="358"/>
      <c r="F109" s="358"/>
      <c r="G109" s="358"/>
      <c r="H109" s="358"/>
      <c r="I109" s="358"/>
      <c r="J109" s="358"/>
      <c r="K109" s="358"/>
      <c r="L109" s="358"/>
      <c r="M109" s="358"/>
      <c r="N109" s="403"/>
      <c r="O109" s="20"/>
      <c r="P109" s="20"/>
      <c r="Q109" s="20"/>
      <c r="R109" s="20"/>
      <c r="S109" s="20"/>
      <c r="T109" s="20"/>
      <c r="U109" s="20"/>
      <c r="V109" s="20"/>
      <c r="W109" s="289"/>
      <c r="Y109" s="275"/>
      <c r="Z109" s="357"/>
      <c r="AA109" s="20"/>
      <c r="AB109" s="20"/>
      <c r="AC109" s="20"/>
      <c r="AD109" s="20"/>
      <c r="AE109" s="20"/>
      <c r="AF109" s="20"/>
      <c r="AG109" s="20"/>
      <c r="AH109" s="20"/>
      <c r="AI109" s="20"/>
      <c r="AJ109" s="20"/>
      <c r="AK109" s="20"/>
      <c r="AL109" s="20"/>
      <c r="AM109" s="20"/>
      <c r="AN109" s="20"/>
      <c r="AO109" s="20"/>
      <c r="AP109" s="20"/>
      <c r="AQ109" s="20"/>
      <c r="AR109" s="289"/>
    </row>
    <row r="110" spans="2:44" ht="16.2" customHeight="1" x14ac:dyDescent="0.3">
      <c r="B110" s="275"/>
      <c r="C110" s="357"/>
      <c r="D110" s="369"/>
      <c r="E110" s="358"/>
      <c r="F110" s="358"/>
      <c r="G110" s="358"/>
      <c r="H110" s="358"/>
      <c r="I110" s="358"/>
      <c r="J110" s="358"/>
      <c r="K110" s="358"/>
      <c r="L110" s="358"/>
      <c r="M110" s="358"/>
      <c r="N110" s="403"/>
      <c r="O110" s="20"/>
      <c r="P110" s="20"/>
      <c r="Q110" s="20"/>
      <c r="R110" s="20"/>
      <c r="S110" s="20"/>
      <c r="T110" s="20"/>
      <c r="U110" s="20"/>
      <c r="V110" s="20"/>
      <c r="W110" s="289"/>
      <c r="Y110" s="275"/>
      <c r="Z110" s="357"/>
      <c r="AA110" s="20"/>
      <c r="AB110" s="20"/>
      <c r="AC110" s="20"/>
      <c r="AD110" s="20"/>
      <c r="AE110" s="20"/>
      <c r="AF110" s="20"/>
      <c r="AG110" s="20"/>
      <c r="AH110" s="20"/>
      <c r="AI110" s="20"/>
      <c r="AJ110" s="20"/>
      <c r="AK110" s="20"/>
      <c r="AL110" s="20"/>
      <c r="AM110" s="20"/>
      <c r="AN110" s="20"/>
      <c r="AO110" s="20"/>
      <c r="AP110" s="20"/>
      <c r="AQ110" s="20"/>
      <c r="AR110" s="289"/>
    </row>
    <row r="111" spans="2:44" ht="16.2" customHeight="1" x14ac:dyDescent="0.3">
      <c r="B111" s="275"/>
      <c r="C111" s="357"/>
      <c r="D111" s="369"/>
      <c r="E111" s="358"/>
      <c r="F111" s="358"/>
      <c r="G111" s="358"/>
      <c r="H111" s="358"/>
      <c r="I111" s="358"/>
      <c r="J111" s="358"/>
      <c r="K111" s="358"/>
      <c r="L111" s="358"/>
      <c r="M111" s="358"/>
      <c r="N111" s="403"/>
      <c r="O111" s="20"/>
      <c r="P111" s="20"/>
      <c r="Q111" s="20"/>
      <c r="R111" s="20"/>
      <c r="S111" s="20"/>
      <c r="T111" s="20"/>
      <c r="U111" s="20"/>
      <c r="V111" s="20"/>
      <c r="W111" s="289"/>
      <c r="Y111" s="275"/>
      <c r="Z111" s="357"/>
      <c r="AA111" s="20"/>
      <c r="AB111" s="20"/>
      <c r="AC111" s="20"/>
      <c r="AD111" s="20"/>
      <c r="AE111" s="20"/>
      <c r="AF111" s="20"/>
      <c r="AG111" s="20"/>
      <c r="AH111" s="20"/>
      <c r="AI111" s="20"/>
      <c r="AJ111" s="20"/>
      <c r="AK111" s="20"/>
      <c r="AL111" s="20"/>
      <c r="AM111" s="20"/>
      <c r="AN111" s="20"/>
      <c r="AO111" s="20"/>
      <c r="AP111" s="20"/>
      <c r="AQ111" s="20"/>
      <c r="AR111" s="289"/>
    </row>
    <row r="112" spans="2:44" ht="16.2" customHeight="1" x14ac:dyDescent="0.3">
      <c r="B112" s="275"/>
      <c r="C112" s="357"/>
      <c r="D112" s="369"/>
      <c r="E112" s="358"/>
      <c r="F112" s="358"/>
      <c r="G112" s="358"/>
      <c r="H112" s="358"/>
      <c r="I112" s="358"/>
      <c r="J112" s="358"/>
      <c r="K112" s="358"/>
      <c r="L112" s="358"/>
      <c r="M112" s="358"/>
      <c r="N112" s="403"/>
      <c r="O112" s="20"/>
      <c r="P112" s="20"/>
      <c r="Q112" s="20"/>
      <c r="R112" s="20"/>
      <c r="S112" s="20"/>
      <c r="T112" s="20"/>
      <c r="U112" s="20"/>
      <c r="V112" s="20"/>
      <c r="W112" s="289"/>
      <c r="Y112" s="275"/>
      <c r="Z112" s="357"/>
      <c r="AA112" s="20"/>
      <c r="AB112" s="20"/>
      <c r="AC112" s="20"/>
      <c r="AD112" s="20"/>
      <c r="AE112" s="20"/>
      <c r="AF112" s="20"/>
      <c r="AG112" s="20"/>
      <c r="AH112" s="20"/>
      <c r="AI112" s="20"/>
      <c r="AJ112" s="20"/>
      <c r="AK112" s="20"/>
      <c r="AL112" s="20"/>
      <c r="AM112" s="20"/>
      <c r="AN112" s="20"/>
      <c r="AO112" s="20"/>
      <c r="AP112" s="20"/>
      <c r="AQ112" s="20"/>
      <c r="AR112" s="289"/>
    </row>
    <row r="113" spans="2:44" ht="16.2" customHeight="1" x14ac:dyDescent="0.3">
      <c r="B113" s="275"/>
      <c r="C113" s="357"/>
      <c r="D113" s="369"/>
      <c r="E113" s="358"/>
      <c r="F113" s="358"/>
      <c r="G113" s="358"/>
      <c r="H113" s="358"/>
      <c r="I113" s="358"/>
      <c r="J113" s="358"/>
      <c r="K113" s="358"/>
      <c r="L113" s="358"/>
      <c r="M113" s="358"/>
      <c r="N113" s="403"/>
      <c r="O113" s="20"/>
      <c r="P113" s="20"/>
      <c r="Q113" s="20"/>
      <c r="R113" s="20"/>
      <c r="S113" s="20"/>
      <c r="T113" s="20"/>
      <c r="U113" s="20"/>
      <c r="V113" s="20"/>
      <c r="W113" s="289"/>
      <c r="Y113" s="275"/>
      <c r="Z113" s="357"/>
      <c r="AA113" s="20"/>
      <c r="AB113" s="20"/>
      <c r="AC113" s="20"/>
      <c r="AD113" s="20"/>
      <c r="AE113" s="20"/>
      <c r="AF113" s="20"/>
      <c r="AG113" s="20"/>
      <c r="AH113" s="20"/>
      <c r="AI113" s="20"/>
      <c r="AJ113" s="20"/>
      <c r="AK113" s="20"/>
      <c r="AL113" s="20"/>
      <c r="AM113" s="20"/>
      <c r="AN113" s="20"/>
      <c r="AO113" s="20"/>
      <c r="AP113" s="20"/>
      <c r="AQ113" s="20"/>
      <c r="AR113" s="289"/>
    </row>
    <row r="114" spans="2:44" ht="16.2" customHeight="1" x14ac:dyDescent="0.3">
      <c r="B114" s="275"/>
      <c r="C114" s="357"/>
      <c r="D114" s="369"/>
      <c r="E114" s="358"/>
      <c r="F114" s="358"/>
      <c r="G114" s="358"/>
      <c r="H114" s="358"/>
      <c r="I114" s="358"/>
      <c r="J114" s="358"/>
      <c r="K114" s="358"/>
      <c r="L114" s="358"/>
      <c r="M114" s="358"/>
      <c r="N114" s="403"/>
      <c r="O114" s="20"/>
      <c r="P114" s="20"/>
      <c r="Q114" s="20"/>
      <c r="R114" s="20"/>
      <c r="S114" s="20"/>
      <c r="T114" s="20"/>
      <c r="U114" s="20"/>
      <c r="V114" s="20"/>
      <c r="W114" s="289"/>
      <c r="Y114" s="275"/>
      <c r="Z114" s="357"/>
      <c r="AA114" s="20"/>
      <c r="AB114" s="20"/>
      <c r="AC114" s="20"/>
      <c r="AD114" s="20"/>
      <c r="AE114" s="20"/>
      <c r="AF114" s="20"/>
      <c r="AG114" s="20"/>
      <c r="AH114" s="20"/>
      <c r="AI114" s="20"/>
      <c r="AJ114" s="20"/>
      <c r="AK114" s="20"/>
      <c r="AL114" s="20"/>
      <c r="AM114" s="20"/>
      <c r="AN114" s="20"/>
      <c r="AO114" s="20"/>
      <c r="AP114" s="20"/>
      <c r="AQ114" s="20"/>
      <c r="AR114" s="289"/>
    </row>
    <row r="115" spans="2:44" ht="16.2" customHeight="1" x14ac:dyDescent="0.3">
      <c r="B115" s="275"/>
      <c r="C115" s="357"/>
      <c r="D115" s="369"/>
      <c r="E115" s="358"/>
      <c r="F115" s="358"/>
      <c r="G115" s="358"/>
      <c r="H115" s="358"/>
      <c r="I115" s="358"/>
      <c r="J115" s="358"/>
      <c r="K115" s="358"/>
      <c r="L115" s="358"/>
      <c r="M115" s="358"/>
      <c r="N115" s="403"/>
      <c r="O115" s="20"/>
      <c r="P115" s="20"/>
      <c r="Q115" s="20"/>
      <c r="R115" s="20"/>
      <c r="S115" s="20"/>
      <c r="T115" s="20"/>
      <c r="U115" s="20"/>
      <c r="V115" s="20"/>
      <c r="W115" s="289"/>
      <c r="Y115" s="275"/>
      <c r="Z115" s="357"/>
      <c r="AA115" s="20"/>
      <c r="AB115" s="20"/>
      <c r="AC115" s="20"/>
      <c r="AD115" s="20"/>
      <c r="AE115" s="20"/>
      <c r="AF115" s="20"/>
      <c r="AG115" s="20"/>
      <c r="AH115" s="20"/>
      <c r="AI115" s="20"/>
      <c r="AJ115" s="20"/>
      <c r="AK115" s="20"/>
      <c r="AL115" s="20"/>
      <c r="AM115" s="20"/>
      <c r="AN115" s="20"/>
      <c r="AO115" s="20"/>
      <c r="AP115" s="20"/>
      <c r="AQ115" s="20"/>
      <c r="AR115" s="289"/>
    </row>
    <row r="116" spans="2:44" ht="16.2" customHeight="1" x14ac:dyDescent="0.3">
      <c r="B116" s="275"/>
      <c r="C116" s="357"/>
      <c r="D116" s="369"/>
      <c r="E116" s="358"/>
      <c r="F116" s="358"/>
      <c r="G116" s="358"/>
      <c r="H116" s="358"/>
      <c r="I116" s="358"/>
      <c r="J116" s="358"/>
      <c r="K116" s="358"/>
      <c r="L116" s="358"/>
      <c r="M116" s="358"/>
      <c r="N116" s="403"/>
      <c r="O116" s="20"/>
      <c r="P116" s="20"/>
      <c r="Q116" s="20"/>
      <c r="R116" s="20"/>
      <c r="S116" s="20"/>
      <c r="T116" s="20"/>
      <c r="U116" s="20"/>
      <c r="V116" s="20"/>
      <c r="W116" s="289"/>
      <c r="Y116" s="275"/>
      <c r="Z116" s="357"/>
      <c r="AA116" s="20"/>
      <c r="AB116" s="20"/>
      <c r="AC116" s="20"/>
      <c r="AD116" s="20"/>
      <c r="AE116" s="20"/>
      <c r="AF116" s="20"/>
      <c r="AG116" s="20"/>
      <c r="AH116" s="20"/>
      <c r="AI116" s="20"/>
      <c r="AJ116" s="20"/>
      <c r="AK116" s="20"/>
      <c r="AL116" s="20"/>
      <c r="AM116" s="20"/>
      <c r="AN116" s="20"/>
      <c r="AO116" s="20"/>
      <c r="AP116" s="20"/>
      <c r="AQ116" s="20"/>
      <c r="AR116" s="289"/>
    </row>
    <row r="117" spans="2:44" ht="16.2" customHeight="1" x14ac:dyDescent="0.3">
      <c r="B117" s="275"/>
      <c r="C117" s="357"/>
      <c r="D117" s="369"/>
      <c r="E117" s="358"/>
      <c r="F117" s="358"/>
      <c r="G117" s="358"/>
      <c r="H117" s="358"/>
      <c r="I117" s="358"/>
      <c r="J117" s="358"/>
      <c r="K117" s="358"/>
      <c r="L117" s="358"/>
      <c r="M117" s="358"/>
      <c r="N117" s="403"/>
      <c r="O117" s="20"/>
      <c r="P117" s="20"/>
      <c r="Q117" s="20"/>
      <c r="R117" s="20"/>
      <c r="S117" s="20"/>
      <c r="T117" s="20"/>
      <c r="U117" s="20"/>
      <c r="V117" s="20"/>
      <c r="W117" s="289"/>
      <c r="Y117" s="275"/>
      <c r="Z117" s="357"/>
      <c r="AA117" s="20"/>
      <c r="AB117" s="20"/>
      <c r="AC117" s="20"/>
      <c r="AD117" s="20"/>
      <c r="AE117" s="20"/>
      <c r="AF117" s="20"/>
      <c r="AG117" s="20"/>
      <c r="AH117" s="20"/>
      <c r="AI117" s="20"/>
      <c r="AJ117" s="20"/>
      <c r="AK117" s="20"/>
      <c r="AL117" s="20"/>
      <c r="AM117" s="20"/>
      <c r="AN117" s="20"/>
      <c r="AO117" s="20"/>
      <c r="AP117" s="20"/>
      <c r="AQ117" s="20"/>
      <c r="AR117" s="289"/>
    </row>
    <row r="118" spans="2:44" ht="16.2" customHeight="1" x14ac:dyDescent="0.3">
      <c r="B118" s="275"/>
      <c r="C118" s="357"/>
      <c r="D118" s="369"/>
      <c r="E118" s="358"/>
      <c r="F118" s="358"/>
      <c r="G118" s="358"/>
      <c r="H118" s="358"/>
      <c r="I118" s="358"/>
      <c r="J118" s="358"/>
      <c r="K118" s="358"/>
      <c r="L118" s="358"/>
      <c r="M118" s="358"/>
      <c r="N118" s="403"/>
      <c r="O118" s="20"/>
      <c r="P118" s="20"/>
      <c r="Q118" s="20"/>
      <c r="R118" s="20"/>
      <c r="S118" s="20"/>
      <c r="T118" s="20"/>
      <c r="U118" s="20"/>
      <c r="V118" s="20"/>
      <c r="W118" s="289"/>
      <c r="Y118" s="275"/>
      <c r="Z118" s="357"/>
      <c r="AA118" s="20"/>
      <c r="AB118" s="20"/>
      <c r="AC118" s="20"/>
      <c r="AD118" s="20"/>
      <c r="AE118" s="20"/>
      <c r="AF118" s="20"/>
      <c r="AG118" s="20"/>
      <c r="AH118" s="20"/>
      <c r="AI118" s="20"/>
      <c r="AJ118" s="20"/>
      <c r="AK118" s="20"/>
      <c r="AL118" s="20"/>
      <c r="AM118" s="20"/>
      <c r="AN118" s="20"/>
      <c r="AO118" s="20"/>
      <c r="AP118" s="20"/>
      <c r="AQ118" s="20"/>
      <c r="AR118" s="289"/>
    </row>
    <row r="119" spans="2:44" ht="16.2" customHeight="1" x14ac:dyDescent="0.3">
      <c r="B119" s="275"/>
      <c r="C119" s="357"/>
      <c r="D119" s="369"/>
      <c r="E119" s="358"/>
      <c r="F119" s="358"/>
      <c r="G119" s="358"/>
      <c r="H119" s="358"/>
      <c r="I119" s="358"/>
      <c r="J119" s="358"/>
      <c r="K119" s="358"/>
      <c r="L119" s="358"/>
      <c r="M119" s="358"/>
      <c r="N119" s="403"/>
      <c r="O119" s="20"/>
      <c r="P119" s="20"/>
      <c r="Q119" s="20"/>
      <c r="R119" s="20"/>
      <c r="S119" s="20"/>
      <c r="T119" s="20"/>
      <c r="U119" s="20"/>
      <c r="V119" s="20"/>
      <c r="W119" s="289"/>
      <c r="Y119" s="275"/>
      <c r="Z119" s="357"/>
      <c r="AA119" s="20"/>
      <c r="AB119" s="20"/>
      <c r="AC119" s="20"/>
      <c r="AD119" s="20"/>
      <c r="AE119" s="20"/>
      <c r="AF119" s="20"/>
      <c r="AG119" s="20"/>
      <c r="AH119" s="20"/>
      <c r="AI119" s="20"/>
      <c r="AJ119" s="20"/>
      <c r="AK119" s="20"/>
      <c r="AL119" s="20"/>
      <c r="AM119" s="20"/>
      <c r="AN119" s="20"/>
      <c r="AO119" s="20"/>
      <c r="AP119" s="20"/>
      <c r="AQ119" s="20"/>
      <c r="AR119" s="289"/>
    </row>
    <row r="120" spans="2:44" ht="16.2" customHeight="1" x14ac:dyDescent="0.3">
      <c r="B120" s="275"/>
      <c r="C120" s="357"/>
      <c r="D120" s="369"/>
      <c r="E120" s="358"/>
      <c r="F120" s="358"/>
      <c r="G120" s="358"/>
      <c r="H120" s="358"/>
      <c r="I120" s="358"/>
      <c r="J120" s="358"/>
      <c r="K120" s="358"/>
      <c r="L120" s="358"/>
      <c r="M120" s="358"/>
      <c r="N120" s="403"/>
      <c r="O120" s="20"/>
      <c r="P120" s="20"/>
      <c r="Q120" s="20"/>
      <c r="R120" s="20"/>
      <c r="S120" s="20"/>
      <c r="T120" s="20"/>
      <c r="U120" s="20"/>
      <c r="V120" s="20"/>
      <c r="W120" s="289"/>
      <c r="Y120" s="275"/>
      <c r="Z120" s="357"/>
      <c r="AA120" s="20"/>
      <c r="AB120" s="20"/>
      <c r="AC120" s="20"/>
      <c r="AD120" s="20"/>
      <c r="AE120" s="20"/>
      <c r="AF120" s="20"/>
      <c r="AG120" s="20"/>
      <c r="AH120" s="20"/>
      <c r="AI120" s="20"/>
      <c r="AJ120" s="20"/>
      <c r="AK120" s="20"/>
      <c r="AL120" s="20"/>
      <c r="AM120" s="20"/>
      <c r="AN120" s="20"/>
      <c r="AO120" s="20"/>
      <c r="AP120" s="20"/>
      <c r="AQ120" s="20"/>
      <c r="AR120" s="289"/>
    </row>
    <row r="121" spans="2:44" ht="16.2" customHeight="1" x14ac:dyDescent="0.3">
      <c r="B121" s="275"/>
      <c r="C121" s="357"/>
      <c r="D121" s="369"/>
      <c r="E121" s="358"/>
      <c r="F121" s="358"/>
      <c r="G121" s="358"/>
      <c r="H121" s="358"/>
      <c r="I121" s="358"/>
      <c r="J121" s="358"/>
      <c r="K121" s="358"/>
      <c r="L121" s="358"/>
      <c r="M121" s="358"/>
      <c r="N121" s="403"/>
      <c r="O121" s="20"/>
      <c r="P121" s="20"/>
      <c r="Q121" s="20"/>
      <c r="R121" s="20"/>
      <c r="S121" s="20"/>
      <c r="T121" s="20"/>
      <c r="U121" s="20"/>
      <c r="V121" s="20"/>
      <c r="W121" s="289"/>
      <c r="Y121" s="275"/>
      <c r="Z121" s="357"/>
      <c r="AA121" s="20"/>
      <c r="AB121" s="20"/>
      <c r="AC121" s="20"/>
      <c r="AD121" s="20"/>
      <c r="AE121" s="20"/>
      <c r="AF121" s="20"/>
      <c r="AG121" s="20"/>
      <c r="AH121" s="20"/>
      <c r="AI121" s="20"/>
      <c r="AJ121" s="20"/>
      <c r="AK121" s="20"/>
      <c r="AL121" s="20"/>
      <c r="AM121" s="20"/>
      <c r="AN121" s="20"/>
      <c r="AO121" s="20"/>
      <c r="AP121" s="20"/>
      <c r="AQ121" s="20"/>
      <c r="AR121" s="289"/>
    </row>
    <row r="122" spans="2:44" ht="16.2" customHeight="1" x14ac:dyDescent="0.3">
      <c r="B122" s="275"/>
      <c r="C122" s="357"/>
      <c r="D122" s="369"/>
      <c r="E122" s="358"/>
      <c r="F122" s="358"/>
      <c r="G122" s="358"/>
      <c r="H122" s="358"/>
      <c r="I122" s="358"/>
      <c r="J122" s="358"/>
      <c r="K122" s="358"/>
      <c r="L122" s="358"/>
      <c r="M122" s="358"/>
      <c r="N122" s="403"/>
      <c r="O122" s="20"/>
      <c r="P122" s="20"/>
      <c r="Q122" s="20"/>
      <c r="R122" s="20"/>
      <c r="S122" s="20"/>
      <c r="T122" s="20"/>
      <c r="U122" s="20"/>
      <c r="V122" s="20"/>
      <c r="W122" s="289"/>
      <c r="Y122" s="275"/>
      <c r="Z122" s="357"/>
      <c r="AA122" s="20"/>
      <c r="AB122" s="20"/>
      <c r="AC122" s="20"/>
      <c r="AD122" s="20"/>
      <c r="AE122" s="20"/>
      <c r="AF122" s="20"/>
      <c r="AG122" s="20"/>
      <c r="AH122" s="20"/>
      <c r="AI122" s="20"/>
      <c r="AJ122" s="20"/>
      <c r="AK122" s="20"/>
      <c r="AL122" s="20"/>
      <c r="AM122" s="20"/>
      <c r="AN122" s="20"/>
      <c r="AO122" s="20"/>
      <c r="AP122" s="20"/>
      <c r="AQ122" s="20"/>
      <c r="AR122" s="289"/>
    </row>
    <row r="123" spans="2:44" ht="16.2" customHeight="1" x14ac:dyDescent="0.3">
      <c r="B123" s="275"/>
      <c r="C123" s="357"/>
      <c r="D123" s="369"/>
      <c r="E123" s="358"/>
      <c r="F123" s="358"/>
      <c r="G123" s="358"/>
      <c r="H123" s="358"/>
      <c r="I123" s="358"/>
      <c r="J123" s="358"/>
      <c r="K123" s="358"/>
      <c r="L123" s="358"/>
      <c r="M123" s="358"/>
      <c r="N123" s="403"/>
      <c r="O123" s="20"/>
      <c r="P123" s="20"/>
      <c r="Q123" s="20"/>
      <c r="R123" s="20"/>
      <c r="S123" s="20"/>
      <c r="T123" s="20"/>
      <c r="U123" s="20"/>
      <c r="V123" s="20"/>
      <c r="W123" s="289"/>
      <c r="Y123" s="275"/>
      <c r="Z123" s="357"/>
      <c r="AA123" s="20"/>
      <c r="AB123" s="20"/>
      <c r="AC123" s="20"/>
      <c r="AD123" s="20"/>
      <c r="AE123" s="20"/>
      <c r="AF123" s="20"/>
      <c r="AG123" s="20"/>
      <c r="AH123" s="20"/>
      <c r="AI123" s="20"/>
      <c r="AJ123" s="20"/>
      <c r="AK123" s="20"/>
      <c r="AL123" s="20"/>
      <c r="AM123" s="20"/>
      <c r="AN123" s="20"/>
      <c r="AO123" s="20"/>
      <c r="AP123" s="20"/>
      <c r="AQ123" s="20"/>
      <c r="AR123" s="289"/>
    </row>
    <row r="124" spans="2:44" ht="16.2" customHeight="1" x14ac:dyDescent="0.3">
      <c r="B124" s="275"/>
      <c r="C124" s="357"/>
      <c r="D124" s="369"/>
      <c r="E124" s="358"/>
      <c r="F124" s="358"/>
      <c r="G124" s="358"/>
      <c r="H124" s="358"/>
      <c r="I124" s="358"/>
      <c r="J124" s="358"/>
      <c r="K124" s="358"/>
      <c r="L124" s="358"/>
      <c r="M124" s="358"/>
      <c r="N124" s="403"/>
      <c r="O124" s="20"/>
      <c r="P124" s="20"/>
      <c r="Q124" s="20"/>
      <c r="R124" s="20"/>
      <c r="S124" s="20"/>
      <c r="T124" s="20"/>
      <c r="U124" s="20"/>
      <c r="V124" s="20"/>
      <c r="W124" s="289"/>
      <c r="Y124" s="275"/>
      <c r="Z124" s="357"/>
      <c r="AA124" s="20"/>
      <c r="AB124" s="20"/>
      <c r="AC124" s="20"/>
      <c r="AD124" s="20"/>
      <c r="AE124" s="20"/>
      <c r="AF124" s="20"/>
      <c r="AG124" s="20"/>
      <c r="AH124" s="20"/>
      <c r="AI124" s="20"/>
      <c r="AJ124" s="20"/>
      <c r="AK124" s="20"/>
      <c r="AL124" s="20"/>
      <c r="AM124" s="20"/>
      <c r="AN124" s="20"/>
      <c r="AO124" s="20"/>
      <c r="AP124" s="20"/>
      <c r="AQ124" s="20"/>
      <c r="AR124" s="289"/>
    </row>
    <row r="125" spans="2:44" ht="16.2" customHeight="1" x14ac:dyDescent="0.3">
      <c r="B125" s="275"/>
      <c r="C125" s="357"/>
      <c r="D125" s="369"/>
      <c r="E125" s="358"/>
      <c r="F125" s="358"/>
      <c r="G125" s="358"/>
      <c r="H125" s="358"/>
      <c r="I125" s="358"/>
      <c r="J125" s="358"/>
      <c r="K125" s="358"/>
      <c r="L125" s="358"/>
      <c r="M125" s="358"/>
      <c r="N125" s="403"/>
      <c r="O125" s="20"/>
      <c r="P125" s="20"/>
      <c r="Q125" s="20"/>
      <c r="R125" s="20"/>
      <c r="S125" s="20"/>
      <c r="T125" s="20"/>
      <c r="U125" s="20"/>
      <c r="V125" s="20"/>
      <c r="W125" s="289"/>
      <c r="Y125" s="275"/>
      <c r="Z125" s="357"/>
      <c r="AA125" s="20"/>
      <c r="AB125" s="20"/>
      <c r="AC125" s="20"/>
      <c r="AD125" s="20"/>
      <c r="AE125" s="20"/>
      <c r="AF125" s="20"/>
      <c r="AG125" s="20"/>
      <c r="AH125" s="20"/>
      <c r="AI125" s="20"/>
      <c r="AJ125" s="20"/>
      <c r="AK125" s="20"/>
      <c r="AL125" s="20"/>
      <c r="AM125" s="20"/>
      <c r="AN125" s="20"/>
      <c r="AO125" s="20"/>
      <c r="AP125" s="20"/>
      <c r="AQ125" s="20"/>
      <c r="AR125" s="289"/>
    </row>
    <row r="126" spans="2:44" ht="16.2" customHeight="1" x14ac:dyDescent="0.3">
      <c r="B126" s="275"/>
      <c r="C126" s="357"/>
      <c r="D126" s="369"/>
      <c r="E126" s="358"/>
      <c r="F126" s="358"/>
      <c r="G126" s="358"/>
      <c r="H126" s="358"/>
      <c r="I126" s="358"/>
      <c r="J126" s="358"/>
      <c r="K126" s="358"/>
      <c r="L126" s="358"/>
      <c r="M126" s="358"/>
      <c r="N126" s="403"/>
      <c r="O126" s="20"/>
      <c r="P126" s="20"/>
      <c r="Q126" s="20"/>
      <c r="R126" s="20"/>
      <c r="S126" s="20"/>
      <c r="T126" s="20"/>
      <c r="U126" s="20"/>
      <c r="V126" s="20"/>
      <c r="W126" s="289"/>
      <c r="Y126" s="275"/>
      <c r="Z126" s="357"/>
      <c r="AA126" s="20"/>
      <c r="AB126" s="20"/>
      <c r="AC126" s="20"/>
      <c r="AD126" s="20"/>
      <c r="AE126" s="20"/>
      <c r="AF126" s="20"/>
      <c r="AG126" s="20"/>
      <c r="AH126" s="20"/>
      <c r="AI126" s="20"/>
      <c r="AJ126" s="20"/>
      <c r="AK126" s="20"/>
      <c r="AL126" s="20"/>
      <c r="AM126" s="20"/>
      <c r="AN126" s="20"/>
      <c r="AO126" s="20"/>
      <c r="AP126" s="20"/>
      <c r="AQ126" s="20"/>
      <c r="AR126" s="289"/>
    </row>
    <row r="127" spans="2:44" ht="16.2" customHeight="1" thickBot="1" x14ac:dyDescent="0.35">
      <c r="B127" s="276"/>
      <c r="C127" s="410"/>
      <c r="D127" s="406"/>
      <c r="E127" s="407"/>
      <c r="F127" s="407"/>
      <c r="G127" s="407"/>
      <c r="H127" s="407"/>
      <c r="I127" s="407"/>
      <c r="J127" s="407"/>
      <c r="K127" s="407"/>
      <c r="L127" s="407"/>
      <c r="M127" s="407"/>
      <c r="N127" s="408"/>
      <c r="O127" s="164"/>
      <c r="P127" s="164"/>
      <c r="Q127" s="164"/>
      <c r="R127" s="164"/>
      <c r="S127" s="164"/>
      <c r="T127" s="164"/>
      <c r="U127" s="164"/>
      <c r="V127" s="164"/>
      <c r="W127" s="290"/>
      <c r="Y127" s="276"/>
      <c r="Z127" s="410"/>
      <c r="AA127" s="164"/>
      <c r="AB127" s="164"/>
      <c r="AC127" s="164"/>
      <c r="AD127" s="164"/>
      <c r="AE127" s="164"/>
      <c r="AF127" s="164"/>
      <c r="AG127" s="164"/>
      <c r="AH127" s="164"/>
      <c r="AI127" s="164"/>
      <c r="AJ127" s="164"/>
      <c r="AK127" s="164"/>
      <c r="AL127" s="164"/>
      <c r="AM127" s="164"/>
      <c r="AN127" s="164"/>
      <c r="AO127" s="164"/>
      <c r="AP127" s="164"/>
      <c r="AQ127" s="164"/>
      <c r="AR127" s="290"/>
    </row>
  </sheetData>
  <sheetProtection algorithmName="SHA-512" hashValue="AR11tgGXYHW06lziRZ2RNez3JwA32Y/18YT2fWNY9T2O4IlAL6QbJZcM+yb36eN++GH5WgxN9FBg0lA+fTvdmg==" saltValue="Wi/zZf0xq2DUckdFBQE1hQ==" spinCount="100000" sheet="1" objects="1" scenarios="1"/>
  <phoneticPr fontId="43" type="noConversion"/>
  <conditionalFormatting sqref="J19 J17 J23 J26 J28 J30 J33">
    <cfRule type="dataBar" priority="376">
      <dataBar>
        <cfvo type="min"/>
        <cfvo type="max"/>
        <color rgb="FFFFB628"/>
      </dataBar>
      <extLst>
        <ext xmlns:x14="http://schemas.microsoft.com/office/spreadsheetml/2009/9/main" uri="{B025F937-C7B1-47D3-B67F-A62EFF666E3E}">
          <x14:id>{F080B604-BC7A-4657-AA7F-833E0787609A}</x14:id>
        </ext>
      </extLst>
    </cfRule>
  </conditionalFormatting>
  <conditionalFormatting sqref="J19 J17 J23 J26 J28 J30 J33">
    <cfRule type="dataBar" priority="375">
      <dataBar>
        <cfvo type="num" val="0"/>
        <cfvo type="num" val="100"/>
        <color rgb="FF638EC6"/>
      </dataBar>
      <extLst>
        <ext xmlns:x14="http://schemas.microsoft.com/office/spreadsheetml/2009/9/main" uri="{B025F937-C7B1-47D3-B67F-A62EFF666E3E}">
          <x14:id>{8205242B-1613-4CA6-A7CF-649918D021BD}</x14:id>
        </ext>
      </extLst>
    </cfRule>
  </conditionalFormatting>
  <conditionalFormatting sqref="J16">
    <cfRule type="iconSet" priority="374">
      <iconSet>
        <cfvo type="percent" val="0"/>
        <cfvo type="num" val="50"/>
        <cfvo type="num" val="75"/>
      </iconSet>
    </cfRule>
  </conditionalFormatting>
  <conditionalFormatting sqref="J16">
    <cfRule type="iconSet" priority="373">
      <iconSet>
        <cfvo type="percent" val="0"/>
        <cfvo type="num" val="26"/>
        <cfvo type="num" val="75"/>
      </iconSet>
    </cfRule>
  </conditionalFormatting>
  <conditionalFormatting sqref="J18">
    <cfRule type="iconSet" priority="372">
      <iconSet>
        <cfvo type="percent" val="0"/>
        <cfvo type="num" val="50"/>
        <cfvo type="num" val="75"/>
      </iconSet>
    </cfRule>
  </conditionalFormatting>
  <conditionalFormatting sqref="J18">
    <cfRule type="iconSet" priority="371">
      <iconSet>
        <cfvo type="percent" val="0"/>
        <cfvo type="num" val="26"/>
        <cfvo type="num" val="75"/>
      </iconSet>
    </cfRule>
  </conditionalFormatting>
  <conditionalFormatting sqref="J20">
    <cfRule type="iconSet" priority="370">
      <iconSet>
        <cfvo type="percent" val="0"/>
        <cfvo type="num" val="50"/>
        <cfvo type="num" val="75"/>
      </iconSet>
    </cfRule>
  </conditionalFormatting>
  <conditionalFormatting sqref="J20">
    <cfRule type="iconSet" priority="369">
      <iconSet>
        <cfvo type="percent" val="0"/>
        <cfvo type="num" val="26"/>
        <cfvo type="num" val="75"/>
      </iconSet>
    </cfRule>
  </conditionalFormatting>
  <conditionalFormatting sqref="J21">
    <cfRule type="iconSet" priority="368">
      <iconSet>
        <cfvo type="percent" val="0"/>
        <cfvo type="num" val="50"/>
        <cfvo type="num" val="75"/>
      </iconSet>
    </cfRule>
  </conditionalFormatting>
  <conditionalFormatting sqref="J21">
    <cfRule type="iconSet" priority="367">
      <iconSet>
        <cfvo type="percent" val="0"/>
        <cfvo type="num" val="26"/>
        <cfvo type="num" val="75"/>
      </iconSet>
    </cfRule>
  </conditionalFormatting>
  <conditionalFormatting sqref="J22">
    <cfRule type="iconSet" priority="366">
      <iconSet>
        <cfvo type="percent" val="0"/>
        <cfvo type="num" val="50"/>
        <cfvo type="num" val="75"/>
      </iconSet>
    </cfRule>
  </conditionalFormatting>
  <conditionalFormatting sqref="J22">
    <cfRule type="iconSet" priority="365">
      <iconSet>
        <cfvo type="percent" val="0"/>
        <cfvo type="num" val="26"/>
        <cfvo type="num" val="75"/>
      </iconSet>
    </cfRule>
  </conditionalFormatting>
  <conditionalFormatting sqref="J24">
    <cfRule type="iconSet" priority="364">
      <iconSet>
        <cfvo type="percent" val="0"/>
        <cfvo type="num" val="50"/>
        <cfvo type="num" val="75"/>
      </iconSet>
    </cfRule>
  </conditionalFormatting>
  <conditionalFormatting sqref="J24">
    <cfRule type="iconSet" priority="363">
      <iconSet>
        <cfvo type="percent" val="0"/>
        <cfvo type="num" val="26"/>
        <cfvo type="num" val="75"/>
      </iconSet>
    </cfRule>
  </conditionalFormatting>
  <conditionalFormatting sqref="J25">
    <cfRule type="iconSet" priority="362">
      <iconSet>
        <cfvo type="percent" val="0"/>
        <cfvo type="num" val="50"/>
        <cfvo type="num" val="75"/>
      </iconSet>
    </cfRule>
  </conditionalFormatting>
  <conditionalFormatting sqref="J25">
    <cfRule type="iconSet" priority="361">
      <iconSet>
        <cfvo type="percent" val="0"/>
        <cfvo type="num" val="26"/>
        <cfvo type="num" val="75"/>
      </iconSet>
    </cfRule>
  </conditionalFormatting>
  <conditionalFormatting sqref="J27">
    <cfRule type="iconSet" priority="360">
      <iconSet>
        <cfvo type="percent" val="0"/>
        <cfvo type="num" val="50"/>
        <cfvo type="num" val="75"/>
      </iconSet>
    </cfRule>
  </conditionalFormatting>
  <conditionalFormatting sqref="J27">
    <cfRule type="iconSet" priority="359">
      <iconSet>
        <cfvo type="percent" val="0"/>
        <cfvo type="num" val="26"/>
        <cfvo type="num" val="75"/>
      </iconSet>
    </cfRule>
  </conditionalFormatting>
  <conditionalFormatting sqref="J29">
    <cfRule type="iconSet" priority="358">
      <iconSet>
        <cfvo type="percent" val="0"/>
        <cfvo type="num" val="50"/>
        <cfvo type="num" val="75"/>
      </iconSet>
    </cfRule>
  </conditionalFormatting>
  <conditionalFormatting sqref="J29">
    <cfRule type="iconSet" priority="357">
      <iconSet>
        <cfvo type="percent" val="0"/>
        <cfvo type="num" val="26"/>
        <cfvo type="num" val="75"/>
      </iconSet>
    </cfRule>
  </conditionalFormatting>
  <conditionalFormatting sqref="J31">
    <cfRule type="iconSet" priority="356">
      <iconSet>
        <cfvo type="percent" val="0"/>
        <cfvo type="num" val="50"/>
        <cfvo type="num" val="75"/>
      </iconSet>
    </cfRule>
  </conditionalFormatting>
  <conditionalFormatting sqref="J31">
    <cfRule type="iconSet" priority="355">
      <iconSet>
        <cfvo type="percent" val="0"/>
        <cfvo type="num" val="26"/>
        <cfvo type="num" val="75"/>
      </iconSet>
    </cfRule>
  </conditionalFormatting>
  <conditionalFormatting sqref="J32">
    <cfRule type="iconSet" priority="354">
      <iconSet>
        <cfvo type="percent" val="0"/>
        <cfvo type="num" val="50"/>
        <cfvo type="num" val="75"/>
      </iconSet>
    </cfRule>
  </conditionalFormatting>
  <conditionalFormatting sqref="J32">
    <cfRule type="iconSet" priority="353">
      <iconSet>
        <cfvo type="percent" val="0"/>
        <cfvo type="num" val="26"/>
        <cfvo type="num" val="75"/>
      </iconSet>
    </cfRule>
  </conditionalFormatting>
  <conditionalFormatting sqref="J34">
    <cfRule type="iconSet" priority="352">
      <iconSet>
        <cfvo type="percent" val="0"/>
        <cfvo type="num" val="50"/>
        <cfvo type="num" val="75"/>
      </iconSet>
    </cfRule>
  </conditionalFormatting>
  <conditionalFormatting sqref="J34">
    <cfRule type="iconSet" priority="351">
      <iconSet>
        <cfvo type="percent" val="0"/>
        <cfvo type="num" val="26"/>
        <cfvo type="num" val="75"/>
      </iconSet>
    </cfRule>
  </conditionalFormatting>
  <conditionalFormatting sqref="K17 K19 K23 K26 K28 K30 K33">
    <cfRule type="dataBar" priority="350">
      <dataBar>
        <cfvo type="min"/>
        <cfvo type="max"/>
        <color rgb="FFFFB628"/>
      </dataBar>
      <extLst>
        <ext xmlns:x14="http://schemas.microsoft.com/office/spreadsheetml/2009/9/main" uri="{B025F937-C7B1-47D3-B67F-A62EFF666E3E}">
          <x14:id>{88EE1FC9-EF7E-493C-B96D-327B01CC1A06}</x14:id>
        </ext>
      </extLst>
    </cfRule>
  </conditionalFormatting>
  <conditionalFormatting sqref="K17 K19 K23 K26 K28 K30 K33">
    <cfRule type="dataBar" priority="349">
      <dataBar>
        <cfvo type="num" val="0"/>
        <cfvo type="num" val="100"/>
        <color rgb="FF638EC6"/>
      </dataBar>
      <extLst>
        <ext xmlns:x14="http://schemas.microsoft.com/office/spreadsheetml/2009/9/main" uri="{B025F937-C7B1-47D3-B67F-A62EFF666E3E}">
          <x14:id>{9ABE4D29-F334-4E69-8BB1-BE2082A5821C}</x14:id>
        </ext>
      </extLst>
    </cfRule>
  </conditionalFormatting>
  <conditionalFormatting sqref="K16">
    <cfRule type="iconSet" priority="348">
      <iconSet>
        <cfvo type="percent" val="0"/>
        <cfvo type="num" val="50"/>
        <cfvo type="num" val="75"/>
      </iconSet>
    </cfRule>
  </conditionalFormatting>
  <conditionalFormatting sqref="K16">
    <cfRule type="iconSet" priority="347">
      <iconSet>
        <cfvo type="percent" val="0"/>
        <cfvo type="num" val="26"/>
        <cfvo type="num" val="75"/>
      </iconSet>
    </cfRule>
  </conditionalFormatting>
  <conditionalFormatting sqref="K18">
    <cfRule type="iconSet" priority="346">
      <iconSet>
        <cfvo type="percent" val="0"/>
        <cfvo type="num" val="50"/>
        <cfvo type="num" val="75"/>
      </iconSet>
    </cfRule>
  </conditionalFormatting>
  <conditionalFormatting sqref="K18">
    <cfRule type="iconSet" priority="345">
      <iconSet>
        <cfvo type="percent" val="0"/>
        <cfvo type="num" val="26"/>
        <cfvo type="num" val="75"/>
      </iconSet>
    </cfRule>
  </conditionalFormatting>
  <conditionalFormatting sqref="K20">
    <cfRule type="iconSet" priority="344">
      <iconSet>
        <cfvo type="percent" val="0"/>
        <cfvo type="num" val="50"/>
        <cfvo type="num" val="75"/>
      </iconSet>
    </cfRule>
  </conditionalFormatting>
  <conditionalFormatting sqref="K20">
    <cfRule type="iconSet" priority="343">
      <iconSet>
        <cfvo type="percent" val="0"/>
        <cfvo type="num" val="26"/>
        <cfvo type="num" val="75"/>
      </iconSet>
    </cfRule>
  </conditionalFormatting>
  <conditionalFormatting sqref="K21">
    <cfRule type="iconSet" priority="342">
      <iconSet>
        <cfvo type="percent" val="0"/>
        <cfvo type="num" val="50"/>
        <cfvo type="num" val="75"/>
      </iconSet>
    </cfRule>
  </conditionalFormatting>
  <conditionalFormatting sqref="K21">
    <cfRule type="iconSet" priority="341">
      <iconSet>
        <cfvo type="percent" val="0"/>
        <cfvo type="num" val="26"/>
        <cfvo type="num" val="75"/>
      </iconSet>
    </cfRule>
  </conditionalFormatting>
  <conditionalFormatting sqref="K22">
    <cfRule type="iconSet" priority="340">
      <iconSet>
        <cfvo type="percent" val="0"/>
        <cfvo type="num" val="50"/>
        <cfvo type="num" val="75"/>
      </iconSet>
    </cfRule>
  </conditionalFormatting>
  <conditionalFormatting sqref="K22">
    <cfRule type="iconSet" priority="339">
      <iconSet>
        <cfvo type="percent" val="0"/>
        <cfvo type="num" val="26"/>
        <cfvo type="num" val="75"/>
      </iconSet>
    </cfRule>
  </conditionalFormatting>
  <conditionalFormatting sqref="K24">
    <cfRule type="iconSet" priority="338">
      <iconSet>
        <cfvo type="percent" val="0"/>
        <cfvo type="num" val="50"/>
        <cfvo type="num" val="75"/>
      </iconSet>
    </cfRule>
  </conditionalFormatting>
  <conditionalFormatting sqref="K24">
    <cfRule type="iconSet" priority="337">
      <iconSet>
        <cfvo type="percent" val="0"/>
        <cfvo type="num" val="26"/>
        <cfvo type="num" val="75"/>
      </iconSet>
    </cfRule>
  </conditionalFormatting>
  <conditionalFormatting sqref="K25">
    <cfRule type="iconSet" priority="336">
      <iconSet>
        <cfvo type="percent" val="0"/>
        <cfvo type="num" val="50"/>
        <cfvo type="num" val="75"/>
      </iconSet>
    </cfRule>
  </conditionalFormatting>
  <conditionalFormatting sqref="K25">
    <cfRule type="iconSet" priority="335">
      <iconSet>
        <cfvo type="percent" val="0"/>
        <cfvo type="num" val="26"/>
        <cfvo type="num" val="75"/>
      </iconSet>
    </cfRule>
  </conditionalFormatting>
  <conditionalFormatting sqref="K27">
    <cfRule type="iconSet" priority="334">
      <iconSet>
        <cfvo type="percent" val="0"/>
        <cfvo type="num" val="50"/>
        <cfvo type="num" val="75"/>
      </iconSet>
    </cfRule>
  </conditionalFormatting>
  <conditionalFormatting sqref="K27">
    <cfRule type="iconSet" priority="333">
      <iconSet>
        <cfvo type="percent" val="0"/>
        <cfvo type="num" val="26"/>
        <cfvo type="num" val="75"/>
      </iconSet>
    </cfRule>
  </conditionalFormatting>
  <conditionalFormatting sqref="K29">
    <cfRule type="iconSet" priority="332">
      <iconSet>
        <cfvo type="percent" val="0"/>
        <cfvo type="num" val="50"/>
        <cfvo type="num" val="75"/>
      </iconSet>
    </cfRule>
  </conditionalFormatting>
  <conditionalFormatting sqref="K29">
    <cfRule type="iconSet" priority="331">
      <iconSet>
        <cfvo type="percent" val="0"/>
        <cfvo type="num" val="26"/>
        <cfvo type="num" val="75"/>
      </iconSet>
    </cfRule>
  </conditionalFormatting>
  <conditionalFormatting sqref="K31">
    <cfRule type="iconSet" priority="330">
      <iconSet>
        <cfvo type="percent" val="0"/>
        <cfvo type="num" val="50"/>
        <cfvo type="num" val="75"/>
      </iconSet>
    </cfRule>
  </conditionalFormatting>
  <conditionalFormatting sqref="K31">
    <cfRule type="iconSet" priority="329">
      <iconSet>
        <cfvo type="percent" val="0"/>
        <cfvo type="num" val="26"/>
        <cfvo type="num" val="75"/>
      </iconSet>
    </cfRule>
  </conditionalFormatting>
  <conditionalFormatting sqref="K32">
    <cfRule type="iconSet" priority="328">
      <iconSet>
        <cfvo type="percent" val="0"/>
        <cfvo type="num" val="50"/>
        <cfvo type="num" val="75"/>
      </iconSet>
    </cfRule>
  </conditionalFormatting>
  <conditionalFormatting sqref="K32">
    <cfRule type="iconSet" priority="327">
      <iconSet>
        <cfvo type="percent" val="0"/>
        <cfvo type="num" val="26"/>
        <cfvo type="num" val="75"/>
      </iconSet>
    </cfRule>
  </conditionalFormatting>
  <conditionalFormatting sqref="K34">
    <cfRule type="iconSet" priority="326">
      <iconSet>
        <cfvo type="percent" val="0"/>
        <cfvo type="num" val="50"/>
        <cfvo type="num" val="75"/>
      </iconSet>
    </cfRule>
  </conditionalFormatting>
  <conditionalFormatting sqref="K34">
    <cfRule type="iconSet" priority="325">
      <iconSet>
        <cfvo type="percent" val="0"/>
        <cfvo type="num" val="26"/>
        <cfvo type="num" val="75"/>
      </iconSet>
    </cfRule>
  </conditionalFormatting>
  <conditionalFormatting sqref="L17 L19 L23 L26 L28 L30 L33">
    <cfRule type="dataBar" priority="324">
      <dataBar>
        <cfvo type="min"/>
        <cfvo type="max"/>
        <color rgb="FFFFB628"/>
      </dataBar>
      <extLst>
        <ext xmlns:x14="http://schemas.microsoft.com/office/spreadsheetml/2009/9/main" uri="{B025F937-C7B1-47D3-B67F-A62EFF666E3E}">
          <x14:id>{3F583058-1E51-469E-9FB7-48D1FE060202}</x14:id>
        </ext>
      </extLst>
    </cfRule>
  </conditionalFormatting>
  <conditionalFormatting sqref="L17 L19 L23 L26 L28 L30 L33">
    <cfRule type="dataBar" priority="323">
      <dataBar>
        <cfvo type="num" val="0"/>
        <cfvo type="num" val="100"/>
        <color rgb="FF638EC6"/>
      </dataBar>
      <extLst>
        <ext xmlns:x14="http://schemas.microsoft.com/office/spreadsheetml/2009/9/main" uri="{B025F937-C7B1-47D3-B67F-A62EFF666E3E}">
          <x14:id>{29FB5D3B-7C52-482E-869C-F3E939264E65}</x14:id>
        </ext>
      </extLst>
    </cfRule>
  </conditionalFormatting>
  <conditionalFormatting sqref="L16">
    <cfRule type="iconSet" priority="322">
      <iconSet>
        <cfvo type="percent" val="0"/>
        <cfvo type="num" val="50"/>
        <cfvo type="num" val="75"/>
      </iconSet>
    </cfRule>
  </conditionalFormatting>
  <conditionalFormatting sqref="L16">
    <cfRule type="iconSet" priority="321">
      <iconSet>
        <cfvo type="percent" val="0"/>
        <cfvo type="num" val="26"/>
        <cfvo type="num" val="75"/>
      </iconSet>
    </cfRule>
  </conditionalFormatting>
  <conditionalFormatting sqref="L18">
    <cfRule type="iconSet" priority="320">
      <iconSet>
        <cfvo type="percent" val="0"/>
        <cfvo type="num" val="50"/>
        <cfvo type="num" val="75"/>
      </iconSet>
    </cfRule>
  </conditionalFormatting>
  <conditionalFormatting sqref="L18">
    <cfRule type="iconSet" priority="319">
      <iconSet>
        <cfvo type="percent" val="0"/>
        <cfvo type="num" val="26"/>
        <cfvo type="num" val="75"/>
      </iconSet>
    </cfRule>
  </conditionalFormatting>
  <conditionalFormatting sqref="L20">
    <cfRule type="iconSet" priority="318">
      <iconSet>
        <cfvo type="percent" val="0"/>
        <cfvo type="num" val="50"/>
        <cfvo type="num" val="75"/>
      </iconSet>
    </cfRule>
  </conditionalFormatting>
  <conditionalFormatting sqref="L20">
    <cfRule type="iconSet" priority="317">
      <iconSet>
        <cfvo type="percent" val="0"/>
        <cfvo type="num" val="26"/>
        <cfvo type="num" val="75"/>
      </iconSet>
    </cfRule>
  </conditionalFormatting>
  <conditionalFormatting sqref="L21">
    <cfRule type="iconSet" priority="316">
      <iconSet>
        <cfvo type="percent" val="0"/>
        <cfvo type="num" val="50"/>
        <cfvo type="num" val="75"/>
      </iconSet>
    </cfRule>
  </conditionalFormatting>
  <conditionalFormatting sqref="L21">
    <cfRule type="iconSet" priority="315">
      <iconSet>
        <cfvo type="percent" val="0"/>
        <cfvo type="num" val="26"/>
        <cfvo type="num" val="75"/>
      </iconSet>
    </cfRule>
  </conditionalFormatting>
  <conditionalFormatting sqref="L22">
    <cfRule type="iconSet" priority="314">
      <iconSet>
        <cfvo type="percent" val="0"/>
        <cfvo type="num" val="50"/>
        <cfvo type="num" val="75"/>
      </iconSet>
    </cfRule>
  </conditionalFormatting>
  <conditionalFormatting sqref="L22">
    <cfRule type="iconSet" priority="313">
      <iconSet>
        <cfvo type="percent" val="0"/>
        <cfvo type="num" val="26"/>
        <cfvo type="num" val="75"/>
      </iconSet>
    </cfRule>
  </conditionalFormatting>
  <conditionalFormatting sqref="L24">
    <cfRule type="iconSet" priority="312">
      <iconSet>
        <cfvo type="percent" val="0"/>
        <cfvo type="num" val="50"/>
        <cfvo type="num" val="75"/>
      </iconSet>
    </cfRule>
  </conditionalFormatting>
  <conditionalFormatting sqref="L24">
    <cfRule type="iconSet" priority="311">
      <iconSet>
        <cfvo type="percent" val="0"/>
        <cfvo type="num" val="26"/>
        <cfvo type="num" val="75"/>
      </iconSet>
    </cfRule>
  </conditionalFormatting>
  <conditionalFormatting sqref="L25">
    <cfRule type="iconSet" priority="310">
      <iconSet>
        <cfvo type="percent" val="0"/>
        <cfvo type="num" val="50"/>
        <cfvo type="num" val="75"/>
      </iconSet>
    </cfRule>
  </conditionalFormatting>
  <conditionalFormatting sqref="L25">
    <cfRule type="iconSet" priority="309">
      <iconSet>
        <cfvo type="percent" val="0"/>
        <cfvo type="num" val="26"/>
        <cfvo type="num" val="75"/>
      </iconSet>
    </cfRule>
  </conditionalFormatting>
  <conditionalFormatting sqref="L27">
    <cfRule type="iconSet" priority="308">
      <iconSet>
        <cfvo type="percent" val="0"/>
        <cfvo type="num" val="50"/>
        <cfvo type="num" val="75"/>
      </iconSet>
    </cfRule>
  </conditionalFormatting>
  <conditionalFormatting sqref="L27">
    <cfRule type="iconSet" priority="307">
      <iconSet>
        <cfvo type="percent" val="0"/>
        <cfvo type="num" val="26"/>
        <cfvo type="num" val="75"/>
      </iconSet>
    </cfRule>
  </conditionalFormatting>
  <conditionalFormatting sqref="L29">
    <cfRule type="iconSet" priority="306">
      <iconSet>
        <cfvo type="percent" val="0"/>
        <cfvo type="num" val="50"/>
        <cfvo type="num" val="75"/>
      </iconSet>
    </cfRule>
  </conditionalFormatting>
  <conditionalFormatting sqref="L29">
    <cfRule type="iconSet" priority="305">
      <iconSet>
        <cfvo type="percent" val="0"/>
        <cfvo type="num" val="26"/>
        <cfvo type="num" val="75"/>
      </iconSet>
    </cfRule>
  </conditionalFormatting>
  <conditionalFormatting sqref="L31">
    <cfRule type="iconSet" priority="304">
      <iconSet>
        <cfvo type="percent" val="0"/>
        <cfvo type="num" val="50"/>
        <cfvo type="num" val="75"/>
      </iconSet>
    </cfRule>
  </conditionalFormatting>
  <conditionalFormatting sqref="L31">
    <cfRule type="iconSet" priority="303">
      <iconSet>
        <cfvo type="percent" val="0"/>
        <cfvo type="num" val="26"/>
        <cfvo type="num" val="75"/>
      </iconSet>
    </cfRule>
  </conditionalFormatting>
  <conditionalFormatting sqref="L32">
    <cfRule type="iconSet" priority="302">
      <iconSet>
        <cfvo type="percent" val="0"/>
        <cfvo type="num" val="50"/>
        <cfvo type="num" val="75"/>
      </iconSet>
    </cfRule>
  </conditionalFormatting>
  <conditionalFormatting sqref="L32">
    <cfRule type="iconSet" priority="301">
      <iconSet>
        <cfvo type="percent" val="0"/>
        <cfvo type="num" val="26"/>
        <cfvo type="num" val="75"/>
      </iconSet>
    </cfRule>
  </conditionalFormatting>
  <conditionalFormatting sqref="L34">
    <cfRule type="iconSet" priority="300">
      <iconSet>
        <cfvo type="percent" val="0"/>
        <cfvo type="num" val="50"/>
        <cfvo type="num" val="75"/>
      </iconSet>
    </cfRule>
  </conditionalFormatting>
  <conditionalFormatting sqref="L34">
    <cfRule type="iconSet" priority="299">
      <iconSet>
        <cfvo type="percent" val="0"/>
        <cfvo type="num" val="26"/>
        <cfvo type="num" val="75"/>
      </iconSet>
    </cfRule>
  </conditionalFormatting>
  <conditionalFormatting sqref="M17 M19 M23 M26 M28 M30 M33">
    <cfRule type="dataBar" priority="298">
      <dataBar>
        <cfvo type="min"/>
        <cfvo type="max"/>
        <color rgb="FFFFB628"/>
      </dataBar>
      <extLst>
        <ext xmlns:x14="http://schemas.microsoft.com/office/spreadsheetml/2009/9/main" uri="{B025F937-C7B1-47D3-B67F-A62EFF666E3E}">
          <x14:id>{710A4A2C-0278-47CE-A99E-8B9B3EC56C8A}</x14:id>
        </ext>
      </extLst>
    </cfRule>
  </conditionalFormatting>
  <conditionalFormatting sqref="M17 M19 M23 M26 M28 M30 M33">
    <cfRule type="dataBar" priority="297">
      <dataBar>
        <cfvo type="num" val="0"/>
        <cfvo type="num" val="100"/>
        <color rgb="FF638EC6"/>
      </dataBar>
      <extLst>
        <ext xmlns:x14="http://schemas.microsoft.com/office/spreadsheetml/2009/9/main" uri="{B025F937-C7B1-47D3-B67F-A62EFF666E3E}">
          <x14:id>{21ADC755-2598-4E9F-BD4D-2E6EFB63E21E}</x14:id>
        </ext>
      </extLst>
    </cfRule>
  </conditionalFormatting>
  <conditionalFormatting sqref="M16">
    <cfRule type="iconSet" priority="296">
      <iconSet>
        <cfvo type="percent" val="0"/>
        <cfvo type="num" val="50"/>
        <cfvo type="num" val="75"/>
      </iconSet>
    </cfRule>
  </conditionalFormatting>
  <conditionalFormatting sqref="M16">
    <cfRule type="iconSet" priority="295">
      <iconSet>
        <cfvo type="percent" val="0"/>
        <cfvo type="num" val="26"/>
        <cfvo type="num" val="75"/>
      </iconSet>
    </cfRule>
  </conditionalFormatting>
  <conditionalFormatting sqref="M18">
    <cfRule type="iconSet" priority="294">
      <iconSet>
        <cfvo type="percent" val="0"/>
        <cfvo type="num" val="50"/>
        <cfvo type="num" val="75"/>
      </iconSet>
    </cfRule>
  </conditionalFormatting>
  <conditionalFormatting sqref="M18">
    <cfRule type="iconSet" priority="293">
      <iconSet>
        <cfvo type="percent" val="0"/>
        <cfvo type="num" val="26"/>
        <cfvo type="num" val="75"/>
      </iconSet>
    </cfRule>
  </conditionalFormatting>
  <conditionalFormatting sqref="M20">
    <cfRule type="iconSet" priority="292">
      <iconSet>
        <cfvo type="percent" val="0"/>
        <cfvo type="num" val="50"/>
        <cfvo type="num" val="75"/>
      </iconSet>
    </cfRule>
  </conditionalFormatting>
  <conditionalFormatting sqref="M20">
    <cfRule type="iconSet" priority="291">
      <iconSet>
        <cfvo type="percent" val="0"/>
        <cfvo type="num" val="26"/>
        <cfvo type="num" val="75"/>
      </iconSet>
    </cfRule>
  </conditionalFormatting>
  <conditionalFormatting sqref="M21">
    <cfRule type="iconSet" priority="290">
      <iconSet>
        <cfvo type="percent" val="0"/>
        <cfvo type="num" val="50"/>
        <cfvo type="num" val="75"/>
      </iconSet>
    </cfRule>
  </conditionalFormatting>
  <conditionalFormatting sqref="M21">
    <cfRule type="iconSet" priority="289">
      <iconSet>
        <cfvo type="percent" val="0"/>
        <cfvo type="num" val="26"/>
        <cfvo type="num" val="75"/>
      </iconSet>
    </cfRule>
  </conditionalFormatting>
  <conditionalFormatting sqref="M22">
    <cfRule type="iconSet" priority="288">
      <iconSet>
        <cfvo type="percent" val="0"/>
        <cfvo type="num" val="50"/>
        <cfvo type="num" val="75"/>
      </iconSet>
    </cfRule>
  </conditionalFormatting>
  <conditionalFormatting sqref="M22">
    <cfRule type="iconSet" priority="287">
      <iconSet>
        <cfvo type="percent" val="0"/>
        <cfvo type="num" val="26"/>
        <cfvo type="num" val="75"/>
      </iconSet>
    </cfRule>
  </conditionalFormatting>
  <conditionalFormatting sqref="M24">
    <cfRule type="iconSet" priority="286">
      <iconSet>
        <cfvo type="percent" val="0"/>
        <cfvo type="num" val="50"/>
        <cfvo type="num" val="75"/>
      </iconSet>
    </cfRule>
  </conditionalFormatting>
  <conditionalFormatting sqref="M24">
    <cfRule type="iconSet" priority="285">
      <iconSet>
        <cfvo type="percent" val="0"/>
        <cfvo type="num" val="26"/>
        <cfvo type="num" val="75"/>
      </iconSet>
    </cfRule>
  </conditionalFormatting>
  <conditionalFormatting sqref="M25">
    <cfRule type="iconSet" priority="284">
      <iconSet>
        <cfvo type="percent" val="0"/>
        <cfvo type="num" val="50"/>
        <cfvo type="num" val="75"/>
      </iconSet>
    </cfRule>
  </conditionalFormatting>
  <conditionalFormatting sqref="M25">
    <cfRule type="iconSet" priority="283">
      <iconSet>
        <cfvo type="percent" val="0"/>
        <cfvo type="num" val="26"/>
        <cfvo type="num" val="75"/>
      </iconSet>
    </cfRule>
  </conditionalFormatting>
  <conditionalFormatting sqref="M27">
    <cfRule type="iconSet" priority="282">
      <iconSet>
        <cfvo type="percent" val="0"/>
        <cfvo type="num" val="50"/>
        <cfvo type="num" val="75"/>
      </iconSet>
    </cfRule>
  </conditionalFormatting>
  <conditionalFormatting sqref="M27">
    <cfRule type="iconSet" priority="281">
      <iconSet>
        <cfvo type="percent" val="0"/>
        <cfvo type="num" val="26"/>
        <cfvo type="num" val="75"/>
      </iconSet>
    </cfRule>
  </conditionalFormatting>
  <conditionalFormatting sqref="M29">
    <cfRule type="iconSet" priority="280">
      <iconSet>
        <cfvo type="percent" val="0"/>
        <cfvo type="num" val="50"/>
        <cfvo type="num" val="75"/>
      </iconSet>
    </cfRule>
  </conditionalFormatting>
  <conditionalFormatting sqref="M29">
    <cfRule type="iconSet" priority="279">
      <iconSet>
        <cfvo type="percent" val="0"/>
        <cfvo type="num" val="26"/>
        <cfvo type="num" val="75"/>
      </iconSet>
    </cfRule>
  </conditionalFormatting>
  <conditionalFormatting sqref="M31">
    <cfRule type="iconSet" priority="278">
      <iconSet>
        <cfvo type="percent" val="0"/>
        <cfvo type="num" val="50"/>
        <cfvo type="num" val="75"/>
      </iconSet>
    </cfRule>
  </conditionalFormatting>
  <conditionalFormatting sqref="M31">
    <cfRule type="iconSet" priority="277">
      <iconSet>
        <cfvo type="percent" val="0"/>
        <cfvo type="num" val="26"/>
        <cfvo type="num" val="75"/>
      </iconSet>
    </cfRule>
  </conditionalFormatting>
  <conditionalFormatting sqref="M32">
    <cfRule type="iconSet" priority="276">
      <iconSet>
        <cfvo type="percent" val="0"/>
        <cfvo type="num" val="50"/>
        <cfvo type="num" val="75"/>
      </iconSet>
    </cfRule>
  </conditionalFormatting>
  <conditionalFormatting sqref="M32">
    <cfRule type="iconSet" priority="275">
      <iconSet>
        <cfvo type="percent" val="0"/>
        <cfvo type="num" val="26"/>
        <cfvo type="num" val="75"/>
      </iconSet>
    </cfRule>
  </conditionalFormatting>
  <conditionalFormatting sqref="M34">
    <cfRule type="iconSet" priority="274">
      <iconSet>
        <cfvo type="percent" val="0"/>
        <cfvo type="num" val="50"/>
        <cfvo type="num" val="75"/>
      </iconSet>
    </cfRule>
  </conditionalFormatting>
  <conditionalFormatting sqref="M34">
    <cfRule type="iconSet" priority="273">
      <iconSet>
        <cfvo type="percent" val="0"/>
        <cfvo type="num" val="26"/>
        <cfvo type="num" val="75"/>
      </iconSet>
    </cfRule>
  </conditionalFormatting>
  <conditionalFormatting sqref="C55">
    <cfRule type="dataBar" priority="246">
      <dataBar>
        <cfvo type="min"/>
        <cfvo type="max"/>
        <color rgb="FFFFB628"/>
      </dataBar>
      <extLst>
        <ext xmlns:x14="http://schemas.microsoft.com/office/spreadsheetml/2009/9/main" uri="{B025F937-C7B1-47D3-B67F-A62EFF666E3E}">
          <x14:id>{BBA8D8CF-3FB3-48F7-8942-1CDB9C66A0DA}</x14:id>
        </ext>
      </extLst>
    </cfRule>
  </conditionalFormatting>
  <conditionalFormatting sqref="B48">
    <cfRule type="dataBar" priority="243">
      <dataBar>
        <cfvo type="min"/>
        <cfvo type="max"/>
        <color rgb="FFFFB628"/>
      </dataBar>
      <extLst>
        <ext xmlns:x14="http://schemas.microsoft.com/office/spreadsheetml/2009/9/main" uri="{B025F937-C7B1-47D3-B67F-A62EFF666E3E}">
          <x14:id>{EE2C6700-74F2-40D9-935D-8548270AF08C}</x14:id>
        </ext>
      </extLst>
    </cfRule>
  </conditionalFormatting>
  <conditionalFormatting sqref="B49">
    <cfRule type="dataBar" priority="242">
      <dataBar>
        <cfvo type="min"/>
        <cfvo type="max"/>
        <color rgb="FFFFB628"/>
      </dataBar>
      <extLst>
        <ext xmlns:x14="http://schemas.microsoft.com/office/spreadsheetml/2009/9/main" uri="{B025F937-C7B1-47D3-B67F-A62EFF666E3E}">
          <x14:id>{AEB6BA0B-8F31-4E36-BEE1-B8CAF3959C90}</x14:id>
        </ext>
      </extLst>
    </cfRule>
  </conditionalFormatting>
  <conditionalFormatting sqref="B50">
    <cfRule type="dataBar" priority="241">
      <dataBar>
        <cfvo type="min"/>
        <cfvo type="max"/>
        <color rgb="FFFFB628"/>
      </dataBar>
      <extLst>
        <ext xmlns:x14="http://schemas.microsoft.com/office/spreadsheetml/2009/9/main" uri="{B025F937-C7B1-47D3-B67F-A62EFF666E3E}">
          <x14:id>{D94A0781-A2CB-4A2B-8429-B524324A1334}</x14:id>
        </ext>
      </extLst>
    </cfRule>
  </conditionalFormatting>
  <conditionalFormatting sqref="B51">
    <cfRule type="dataBar" priority="240">
      <dataBar>
        <cfvo type="min"/>
        <cfvo type="max"/>
        <color rgb="FFFFB628"/>
      </dataBar>
      <extLst>
        <ext xmlns:x14="http://schemas.microsoft.com/office/spreadsheetml/2009/9/main" uri="{B025F937-C7B1-47D3-B67F-A62EFF666E3E}">
          <x14:id>{174B3147-F117-4BAC-9A1A-B3512F119377}</x14:id>
        </ext>
      </extLst>
    </cfRule>
  </conditionalFormatting>
  <conditionalFormatting sqref="B52">
    <cfRule type="dataBar" priority="239">
      <dataBar>
        <cfvo type="min"/>
        <cfvo type="max"/>
        <color rgb="FFFFB628"/>
      </dataBar>
      <extLst>
        <ext xmlns:x14="http://schemas.microsoft.com/office/spreadsheetml/2009/9/main" uri="{B025F937-C7B1-47D3-B67F-A62EFF666E3E}">
          <x14:id>{62DF411F-EAFB-4609-96BE-9DBC0439A265}</x14:id>
        </ext>
      </extLst>
    </cfRule>
  </conditionalFormatting>
  <conditionalFormatting sqref="B53">
    <cfRule type="dataBar" priority="238">
      <dataBar>
        <cfvo type="min"/>
        <cfvo type="max"/>
        <color rgb="FFFFB628"/>
      </dataBar>
      <extLst>
        <ext xmlns:x14="http://schemas.microsoft.com/office/spreadsheetml/2009/9/main" uri="{B025F937-C7B1-47D3-B67F-A62EFF666E3E}">
          <x14:id>{D1FC66CE-79D4-4C45-9770-6644315682EB}</x14:id>
        </ext>
      </extLst>
    </cfRule>
  </conditionalFormatting>
  <conditionalFormatting sqref="B54">
    <cfRule type="dataBar" priority="237">
      <dataBar>
        <cfvo type="min"/>
        <cfvo type="max"/>
        <color rgb="FFFFB628"/>
      </dataBar>
      <extLst>
        <ext xmlns:x14="http://schemas.microsoft.com/office/spreadsheetml/2009/9/main" uri="{B025F937-C7B1-47D3-B67F-A62EFF666E3E}">
          <x14:id>{B353D77B-A974-4260-9B50-8C0C301491D1}</x14:id>
        </ext>
      </extLst>
    </cfRule>
  </conditionalFormatting>
  <conditionalFormatting sqref="B55">
    <cfRule type="dataBar" priority="236">
      <dataBar>
        <cfvo type="min"/>
        <cfvo type="max"/>
        <color rgb="FFFFB628"/>
      </dataBar>
      <extLst>
        <ext xmlns:x14="http://schemas.microsoft.com/office/spreadsheetml/2009/9/main" uri="{B025F937-C7B1-47D3-B67F-A62EFF666E3E}">
          <x14:id>{B7B70FFB-ED9A-4FDD-8B1B-34FB6DAEFE2F}</x14:id>
        </ext>
      </extLst>
    </cfRule>
  </conditionalFormatting>
  <conditionalFormatting sqref="I19 I17 I23 I26 I28 I30 I33">
    <cfRule type="dataBar" priority="54">
      <dataBar>
        <cfvo type="min"/>
        <cfvo type="max"/>
        <color rgb="FFFFB628"/>
      </dataBar>
      <extLst>
        <ext xmlns:x14="http://schemas.microsoft.com/office/spreadsheetml/2009/9/main" uri="{B025F937-C7B1-47D3-B67F-A62EFF666E3E}">
          <x14:id>{91C65D75-625D-4BE9-9C27-219AD5A93C36}</x14:id>
        </ext>
      </extLst>
    </cfRule>
  </conditionalFormatting>
  <conditionalFormatting sqref="I17 I19 I23 I26 I28 I30 I33">
    <cfRule type="dataBar" priority="53">
      <dataBar>
        <cfvo type="num" val="0"/>
        <cfvo type="num" val="100"/>
        <color rgb="FF638EC6"/>
      </dataBar>
      <extLst>
        <ext xmlns:x14="http://schemas.microsoft.com/office/spreadsheetml/2009/9/main" uri="{B025F937-C7B1-47D3-B67F-A62EFF666E3E}">
          <x14:id>{BB6E794B-9F34-431D-A6A8-2BB6BF093DE2}</x14:id>
        </ext>
      </extLst>
    </cfRule>
  </conditionalFormatting>
  <conditionalFormatting sqref="I16">
    <cfRule type="iconSet" priority="52">
      <iconSet>
        <cfvo type="percent" val="0"/>
        <cfvo type="num" val="50"/>
        <cfvo type="num" val="75"/>
      </iconSet>
    </cfRule>
  </conditionalFormatting>
  <conditionalFormatting sqref="I16">
    <cfRule type="iconSet" priority="51">
      <iconSet>
        <cfvo type="percent" val="0"/>
        <cfvo type="num" val="26"/>
        <cfvo type="num" val="75"/>
      </iconSet>
    </cfRule>
  </conditionalFormatting>
  <conditionalFormatting sqref="I18">
    <cfRule type="iconSet" priority="50">
      <iconSet>
        <cfvo type="percent" val="0"/>
        <cfvo type="num" val="50"/>
        <cfvo type="num" val="75"/>
      </iconSet>
    </cfRule>
  </conditionalFormatting>
  <conditionalFormatting sqref="I18">
    <cfRule type="iconSet" priority="49">
      <iconSet>
        <cfvo type="percent" val="0"/>
        <cfvo type="num" val="26"/>
        <cfvo type="num" val="75"/>
      </iconSet>
    </cfRule>
  </conditionalFormatting>
  <conditionalFormatting sqref="I20">
    <cfRule type="iconSet" priority="48">
      <iconSet>
        <cfvo type="percent" val="0"/>
        <cfvo type="num" val="50"/>
        <cfvo type="num" val="75"/>
      </iconSet>
    </cfRule>
  </conditionalFormatting>
  <conditionalFormatting sqref="I20">
    <cfRule type="iconSet" priority="47">
      <iconSet>
        <cfvo type="percent" val="0"/>
        <cfvo type="num" val="26"/>
        <cfvo type="num" val="75"/>
      </iconSet>
    </cfRule>
  </conditionalFormatting>
  <conditionalFormatting sqref="I21">
    <cfRule type="iconSet" priority="46">
      <iconSet>
        <cfvo type="percent" val="0"/>
        <cfvo type="num" val="50"/>
        <cfvo type="num" val="75"/>
      </iconSet>
    </cfRule>
  </conditionalFormatting>
  <conditionalFormatting sqref="I21">
    <cfRule type="iconSet" priority="45">
      <iconSet>
        <cfvo type="percent" val="0"/>
        <cfvo type="num" val="26"/>
        <cfvo type="num" val="75"/>
      </iconSet>
    </cfRule>
  </conditionalFormatting>
  <conditionalFormatting sqref="I22">
    <cfRule type="iconSet" priority="44">
      <iconSet>
        <cfvo type="percent" val="0"/>
        <cfvo type="num" val="50"/>
        <cfvo type="num" val="75"/>
      </iconSet>
    </cfRule>
  </conditionalFormatting>
  <conditionalFormatting sqref="I22">
    <cfRule type="iconSet" priority="43">
      <iconSet>
        <cfvo type="percent" val="0"/>
        <cfvo type="num" val="26"/>
        <cfvo type="num" val="75"/>
      </iconSet>
    </cfRule>
  </conditionalFormatting>
  <conditionalFormatting sqref="I24">
    <cfRule type="iconSet" priority="42">
      <iconSet>
        <cfvo type="percent" val="0"/>
        <cfvo type="num" val="50"/>
        <cfvo type="num" val="75"/>
      </iconSet>
    </cfRule>
  </conditionalFormatting>
  <conditionalFormatting sqref="I24">
    <cfRule type="iconSet" priority="41">
      <iconSet>
        <cfvo type="percent" val="0"/>
        <cfvo type="num" val="26"/>
        <cfvo type="num" val="75"/>
      </iconSet>
    </cfRule>
  </conditionalFormatting>
  <conditionalFormatting sqref="I25">
    <cfRule type="iconSet" priority="40">
      <iconSet>
        <cfvo type="percent" val="0"/>
        <cfvo type="num" val="50"/>
        <cfvo type="num" val="75"/>
      </iconSet>
    </cfRule>
  </conditionalFormatting>
  <conditionalFormatting sqref="I25">
    <cfRule type="iconSet" priority="39">
      <iconSet>
        <cfvo type="percent" val="0"/>
        <cfvo type="num" val="26"/>
        <cfvo type="num" val="75"/>
      </iconSet>
    </cfRule>
  </conditionalFormatting>
  <conditionalFormatting sqref="I27">
    <cfRule type="iconSet" priority="38">
      <iconSet>
        <cfvo type="percent" val="0"/>
        <cfvo type="num" val="50"/>
        <cfvo type="num" val="75"/>
      </iconSet>
    </cfRule>
  </conditionalFormatting>
  <conditionalFormatting sqref="I27">
    <cfRule type="iconSet" priority="37">
      <iconSet>
        <cfvo type="percent" val="0"/>
        <cfvo type="num" val="26"/>
        <cfvo type="num" val="75"/>
      </iconSet>
    </cfRule>
  </conditionalFormatting>
  <conditionalFormatting sqref="I29">
    <cfRule type="iconSet" priority="36">
      <iconSet>
        <cfvo type="percent" val="0"/>
        <cfvo type="num" val="50"/>
        <cfvo type="num" val="75"/>
      </iconSet>
    </cfRule>
  </conditionalFormatting>
  <conditionalFormatting sqref="I29">
    <cfRule type="iconSet" priority="35">
      <iconSet>
        <cfvo type="percent" val="0"/>
        <cfvo type="num" val="26"/>
        <cfvo type="num" val="75"/>
      </iconSet>
    </cfRule>
  </conditionalFormatting>
  <conditionalFormatting sqref="I31">
    <cfRule type="iconSet" priority="34">
      <iconSet>
        <cfvo type="percent" val="0"/>
        <cfvo type="num" val="50"/>
        <cfvo type="num" val="75"/>
      </iconSet>
    </cfRule>
  </conditionalFormatting>
  <conditionalFormatting sqref="I31">
    <cfRule type="iconSet" priority="33">
      <iconSet>
        <cfvo type="percent" val="0"/>
        <cfvo type="num" val="26"/>
        <cfvo type="num" val="75"/>
      </iconSet>
    </cfRule>
  </conditionalFormatting>
  <conditionalFormatting sqref="I32">
    <cfRule type="iconSet" priority="32">
      <iconSet>
        <cfvo type="percent" val="0"/>
        <cfvo type="num" val="50"/>
        <cfvo type="num" val="75"/>
      </iconSet>
    </cfRule>
  </conditionalFormatting>
  <conditionalFormatting sqref="I32">
    <cfRule type="iconSet" priority="31">
      <iconSet>
        <cfvo type="percent" val="0"/>
        <cfvo type="num" val="26"/>
        <cfvo type="num" val="75"/>
      </iconSet>
    </cfRule>
  </conditionalFormatting>
  <conditionalFormatting sqref="I34">
    <cfRule type="iconSet" priority="30">
      <iconSet>
        <cfvo type="percent" val="0"/>
        <cfvo type="num" val="50"/>
        <cfvo type="num" val="75"/>
      </iconSet>
    </cfRule>
  </conditionalFormatting>
  <conditionalFormatting sqref="I34">
    <cfRule type="iconSet" priority="29">
      <iconSet>
        <cfvo type="percent" val="0"/>
        <cfvo type="num" val="26"/>
        <cfvo type="num" val="75"/>
      </iconSet>
    </cfRule>
  </conditionalFormatting>
  <conditionalFormatting sqref="D19:H19 D17:H17 D23:H23 D26:H26 D28:H28 D30:H30 D33:H33">
    <cfRule type="dataBar" priority="28">
      <dataBar>
        <cfvo type="min"/>
        <cfvo type="max"/>
        <color rgb="FFFFB628"/>
      </dataBar>
      <extLst>
        <ext xmlns:x14="http://schemas.microsoft.com/office/spreadsheetml/2009/9/main" uri="{B025F937-C7B1-47D3-B67F-A62EFF666E3E}">
          <x14:id>{6E14BEB2-C85C-470F-B819-13DB005EB748}</x14:id>
        </ext>
      </extLst>
    </cfRule>
  </conditionalFormatting>
  <conditionalFormatting sqref="D17:H17 D19:H19 D23:H23 D26:H26 D28:H28 D30:H30 D33:H33">
    <cfRule type="dataBar" priority="27">
      <dataBar>
        <cfvo type="num" val="0"/>
        <cfvo type="num" val="100"/>
        <color rgb="FF638EC6"/>
      </dataBar>
      <extLst>
        <ext xmlns:x14="http://schemas.microsoft.com/office/spreadsheetml/2009/9/main" uri="{B025F937-C7B1-47D3-B67F-A62EFF666E3E}">
          <x14:id>{41244E8C-A3D4-4CB0-A682-9318E5341E57}</x14:id>
        </ext>
      </extLst>
    </cfRule>
  </conditionalFormatting>
  <conditionalFormatting sqref="D16:H16">
    <cfRule type="iconSet" priority="26">
      <iconSet>
        <cfvo type="percent" val="0"/>
        <cfvo type="num" val="50"/>
        <cfvo type="num" val="75"/>
      </iconSet>
    </cfRule>
  </conditionalFormatting>
  <conditionalFormatting sqref="D16:H16">
    <cfRule type="iconSet" priority="25">
      <iconSet>
        <cfvo type="percent" val="0"/>
        <cfvo type="num" val="26"/>
        <cfvo type="num" val="75"/>
      </iconSet>
    </cfRule>
  </conditionalFormatting>
  <conditionalFormatting sqref="D18:H18">
    <cfRule type="iconSet" priority="24">
      <iconSet>
        <cfvo type="percent" val="0"/>
        <cfvo type="num" val="50"/>
        <cfvo type="num" val="75"/>
      </iconSet>
    </cfRule>
  </conditionalFormatting>
  <conditionalFormatting sqref="D18:H18">
    <cfRule type="iconSet" priority="23">
      <iconSet>
        <cfvo type="percent" val="0"/>
        <cfvo type="num" val="26"/>
        <cfvo type="num" val="75"/>
      </iconSet>
    </cfRule>
  </conditionalFormatting>
  <conditionalFormatting sqref="D20:H20">
    <cfRule type="iconSet" priority="22">
      <iconSet>
        <cfvo type="percent" val="0"/>
        <cfvo type="num" val="50"/>
        <cfvo type="num" val="75"/>
      </iconSet>
    </cfRule>
  </conditionalFormatting>
  <conditionalFormatting sqref="D20:H20">
    <cfRule type="iconSet" priority="21">
      <iconSet>
        <cfvo type="percent" val="0"/>
        <cfvo type="num" val="26"/>
        <cfvo type="num" val="75"/>
      </iconSet>
    </cfRule>
  </conditionalFormatting>
  <conditionalFormatting sqref="D21:H21">
    <cfRule type="iconSet" priority="20">
      <iconSet>
        <cfvo type="percent" val="0"/>
        <cfvo type="num" val="50"/>
        <cfvo type="num" val="75"/>
      </iconSet>
    </cfRule>
  </conditionalFormatting>
  <conditionalFormatting sqref="D21:H21">
    <cfRule type="iconSet" priority="19">
      <iconSet>
        <cfvo type="percent" val="0"/>
        <cfvo type="num" val="26"/>
        <cfvo type="num" val="75"/>
      </iconSet>
    </cfRule>
  </conditionalFormatting>
  <conditionalFormatting sqref="D22:H22">
    <cfRule type="iconSet" priority="18">
      <iconSet>
        <cfvo type="percent" val="0"/>
        <cfvo type="num" val="50"/>
        <cfvo type="num" val="75"/>
      </iconSet>
    </cfRule>
  </conditionalFormatting>
  <conditionalFormatting sqref="D22:H22">
    <cfRule type="iconSet" priority="17">
      <iconSet>
        <cfvo type="percent" val="0"/>
        <cfvo type="num" val="26"/>
        <cfvo type="num" val="75"/>
      </iconSet>
    </cfRule>
  </conditionalFormatting>
  <conditionalFormatting sqref="D24:H24">
    <cfRule type="iconSet" priority="16">
      <iconSet>
        <cfvo type="percent" val="0"/>
        <cfvo type="num" val="50"/>
        <cfvo type="num" val="75"/>
      </iconSet>
    </cfRule>
  </conditionalFormatting>
  <conditionalFormatting sqref="D24:H24">
    <cfRule type="iconSet" priority="15">
      <iconSet>
        <cfvo type="percent" val="0"/>
        <cfvo type="num" val="26"/>
        <cfvo type="num" val="75"/>
      </iconSet>
    </cfRule>
  </conditionalFormatting>
  <conditionalFormatting sqref="D25:H25">
    <cfRule type="iconSet" priority="14">
      <iconSet>
        <cfvo type="percent" val="0"/>
        <cfvo type="num" val="50"/>
        <cfvo type="num" val="75"/>
      </iconSet>
    </cfRule>
  </conditionalFormatting>
  <conditionalFormatting sqref="D25:H25">
    <cfRule type="iconSet" priority="13">
      <iconSet>
        <cfvo type="percent" val="0"/>
        <cfvo type="num" val="26"/>
        <cfvo type="num" val="75"/>
      </iconSet>
    </cfRule>
  </conditionalFormatting>
  <conditionalFormatting sqref="D27:H27">
    <cfRule type="iconSet" priority="12">
      <iconSet>
        <cfvo type="percent" val="0"/>
        <cfvo type="num" val="50"/>
        <cfvo type="num" val="75"/>
      </iconSet>
    </cfRule>
  </conditionalFormatting>
  <conditionalFormatting sqref="D27:H27">
    <cfRule type="iconSet" priority="11">
      <iconSet>
        <cfvo type="percent" val="0"/>
        <cfvo type="num" val="26"/>
        <cfvo type="num" val="75"/>
      </iconSet>
    </cfRule>
  </conditionalFormatting>
  <conditionalFormatting sqref="D29:H29">
    <cfRule type="iconSet" priority="10">
      <iconSet>
        <cfvo type="percent" val="0"/>
        <cfvo type="num" val="50"/>
        <cfvo type="num" val="75"/>
      </iconSet>
    </cfRule>
  </conditionalFormatting>
  <conditionalFormatting sqref="D29:H29">
    <cfRule type="iconSet" priority="9">
      <iconSet>
        <cfvo type="percent" val="0"/>
        <cfvo type="num" val="26"/>
        <cfvo type="num" val="75"/>
      </iconSet>
    </cfRule>
  </conditionalFormatting>
  <conditionalFormatting sqref="D31:H31">
    <cfRule type="iconSet" priority="8">
      <iconSet>
        <cfvo type="percent" val="0"/>
        <cfvo type="num" val="50"/>
        <cfvo type="num" val="75"/>
      </iconSet>
    </cfRule>
  </conditionalFormatting>
  <conditionalFormatting sqref="D31:H31">
    <cfRule type="iconSet" priority="7">
      <iconSet>
        <cfvo type="percent" val="0"/>
        <cfvo type="num" val="26"/>
        <cfvo type="num" val="75"/>
      </iconSet>
    </cfRule>
  </conditionalFormatting>
  <conditionalFormatting sqref="D32:H32">
    <cfRule type="iconSet" priority="6">
      <iconSet>
        <cfvo type="percent" val="0"/>
        <cfvo type="num" val="50"/>
        <cfvo type="num" val="75"/>
      </iconSet>
    </cfRule>
  </conditionalFormatting>
  <conditionalFormatting sqref="D32:H32">
    <cfRule type="iconSet" priority="5">
      <iconSet>
        <cfvo type="percent" val="0"/>
        <cfvo type="num" val="26"/>
        <cfvo type="num" val="75"/>
      </iconSet>
    </cfRule>
  </conditionalFormatting>
  <conditionalFormatting sqref="D34:H34">
    <cfRule type="iconSet" priority="4">
      <iconSet>
        <cfvo type="percent" val="0"/>
        <cfvo type="num" val="50"/>
        <cfvo type="num" val="75"/>
      </iconSet>
    </cfRule>
  </conditionalFormatting>
  <conditionalFormatting sqref="D34:H34">
    <cfRule type="iconSet" priority="3">
      <iconSet>
        <cfvo type="percent" val="0"/>
        <cfvo type="num" val="26"/>
        <cfvo type="num" val="75"/>
      </iconSet>
    </cfRule>
  </conditionalFormatting>
  <conditionalFormatting sqref="B28 B30 B18:C18 B29:C29 B27:C27 C16 B20:C22 B24:C25 B31:C34 A24:A42">
    <cfRule type="dataBar" priority="592">
      <dataBar>
        <cfvo type="min"/>
        <cfvo type="max"/>
        <color rgb="FFFFB628"/>
      </dataBar>
      <extLst>
        <ext xmlns:x14="http://schemas.microsoft.com/office/spreadsheetml/2009/9/main" uri="{B025F937-C7B1-47D3-B67F-A62EFF666E3E}">
          <x14:id>{F363723D-42C9-420C-84FB-4046A7B688FF}</x14:id>
        </ext>
      </extLst>
    </cfRule>
  </conditionalFormatting>
  <conditionalFormatting sqref="B16">
    <cfRule type="dataBar" priority="2">
      <dataBar>
        <cfvo type="min"/>
        <cfvo type="max"/>
        <color rgb="FFFFB628"/>
      </dataBar>
      <extLst>
        <ext xmlns:x14="http://schemas.microsoft.com/office/spreadsheetml/2009/9/main" uri="{B025F937-C7B1-47D3-B67F-A62EFF666E3E}">
          <x14:id>{CEAB8578-E097-4495-A27F-32FE39A083CD}</x14:id>
        </ext>
      </extLst>
    </cfRule>
  </conditionalFormatting>
  <conditionalFormatting sqref="Y55">
    <cfRule type="dataBar" priority="1">
      <dataBar>
        <cfvo type="min"/>
        <cfvo type="max"/>
        <color rgb="FFFFB628"/>
      </dataBar>
      <extLst>
        <ext xmlns:x14="http://schemas.microsoft.com/office/spreadsheetml/2009/9/main" uri="{B025F937-C7B1-47D3-B67F-A62EFF666E3E}">
          <x14:id>{D51E0F7F-29F7-483A-91A9-5BDF039B9260}</x14:id>
        </ext>
      </extLst>
    </cfRule>
  </conditionalFormatting>
  <dataValidations disablePrompts="1" count="12">
    <dataValidation type="list" allowBlank="1" showInputMessage="1" showErrorMessage="1" sqref="AB35" xr:uid="{B0F96EEC-F8D5-4D93-9689-3D73AE5C2C89}">
      <formula1>co2berekening</formula1>
    </dataValidation>
    <dataValidation type="list" allowBlank="1" showInputMessage="1" showErrorMessage="1" sqref="AB33" xr:uid="{6FC41EDF-4EC1-4D8D-8FDB-D798B3818E92}">
      <formula1>circulariteit</formula1>
    </dataValidation>
    <dataValidation type="list" allowBlank="1" showInputMessage="1" showErrorMessage="1" sqref="AB32" xr:uid="{6B70CBEE-D5D1-4277-BD4C-9E0E15AF8177}">
      <formula1>mki</formula1>
    </dataValidation>
    <dataValidation type="list" allowBlank="1" showInputMessage="1" showErrorMessage="1" sqref="AB30" xr:uid="{E7D618B4-07C1-4DDB-8BAE-7316E9D2F69D}">
      <formula1>beheeronderhoud</formula1>
    </dataValidation>
    <dataValidation type="list" allowBlank="1" showInputMessage="1" showErrorMessage="1" sqref="AB28" xr:uid="{2891D217-6CAF-4A5A-A07B-548C41ABE362}">
      <formula1>adaptatie</formula1>
    </dataValidation>
    <dataValidation type="list" allowBlank="1" showInputMessage="1" showErrorMessage="1" sqref="AB26" xr:uid="{640EEBB3-66A9-4136-B61F-903FCEB5E13F}">
      <formula1>materialenpaspoort</formula1>
    </dataValidation>
    <dataValidation type="list" allowBlank="1" showInputMessage="1" showErrorMessage="1" sqref="AB25" xr:uid="{C3A4BD13-8C30-4FD1-9F9C-D6263018E130}">
      <formula1>herbruikbaarheid</formula1>
    </dataValidation>
    <dataValidation type="list" allowBlank="1" showInputMessage="1" showErrorMessage="1" sqref="AB23" xr:uid="{CF672735-B557-458C-8613-AAD9B8602309}">
      <formula1>natuurlijkeprocessen</formula1>
    </dataValidation>
    <dataValidation type="list" allowBlank="1" showInputMessage="1" showErrorMessage="1" sqref="AB22" xr:uid="{03395D5F-C4FD-4AD7-A7FA-FCDF96A9C7F8}">
      <formula1>materialendatabank</formula1>
    </dataValidation>
    <dataValidation type="list" allowBlank="1" showInputMessage="1" showErrorMessage="1" sqref="AB21" xr:uid="{434395F8-70C9-45D0-B15F-F53A911608A0}">
      <formula1>restwaardehergebruik</formula1>
    </dataValidation>
    <dataValidation type="list" allowBlank="1" showInputMessage="1" showErrorMessage="1" sqref="AB19" xr:uid="{ACE480B3-194F-4601-A11B-B8F48A2B5E86}">
      <formula1>levensduurverlenging</formula1>
    </dataValidation>
    <dataValidation type="list" allowBlank="1" showInputMessage="1" showErrorMessage="1" sqref="AB17" xr:uid="{2E6526ED-A5CD-419D-87A1-1C45969519F7}">
      <formula1>opgverkleining</formula1>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dataBar" id="{F080B604-BC7A-4657-AA7F-833E0787609A}">
            <x14:dataBar minLength="0" maxLength="100" border="1" negativeBarBorderColorSameAsPositive="0">
              <x14:cfvo type="autoMin"/>
              <x14:cfvo type="autoMax"/>
              <x14:borderColor rgb="FFFFB628"/>
              <x14:negativeFillColor rgb="FFFF0000"/>
              <x14:negativeBorderColor rgb="FFFF0000"/>
              <x14:axisColor rgb="FF000000"/>
            </x14:dataBar>
          </x14:cfRule>
          <xm:sqref>J19 J17 J23 J26 J28 J30 J33</xm:sqref>
        </x14:conditionalFormatting>
        <x14:conditionalFormatting xmlns:xm="http://schemas.microsoft.com/office/excel/2006/main">
          <x14:cfRule type="dataBar" id="{8205242B-1613-4CA6-A7CF-649918D021BD}">
            <x14:dataBar minLength="0" maxLength="100" gradient="0">
              <x14:cfvo type="num">
                <xm:f>0</xm:f>
              </x14:cfvo>
              <x14:cfvo type="num">
                <xm:f>100</xm:f>
              </x14:cfvo>
              <x14:negativeFillColor rgb="FFFF0000"/>
              <x14:axisColor rgb="FF000000"/>
            </x14:dataBar>
          </x14:cfRule>
          <xm:sqref>J19 J17 J23 J26 J28 J30 J33</xm:sqref>
        </x14:conditionalFormatting>
        <x14:conditionalFormatting xmlns:xm="http://schemas.microsoft.com/office/excel/2006/main">
          <x14:cfRule type="dataBar" id="{88EE1FC9-EF7E-493C-B96D-327B01CC1A06}">
            <x14:dataBar minLength="0" maxLength="100" border="1" negativeBarBorderColorSameAsPositive="0">
              <x14:cfvo type="autoMin"/>
              <x14:cfvo type="autoMax"/>
              <x14:borderColor rgb="FFFFB628"/>
              <x14:negativeFillColor rgb="FFFF0000"/>
              <x14:negativeBorderColor rgb="FFFF0000"/>
              <x14:axisColor rgb="FF000000"/>
            </x14:dataBar>
          </x14:cfRule>
          <xm:sqref>K17 K19 K23 K26 K28 K30 K33</xm:sqref>
        </x14:conditionalFormatting>
        <x14:conditionalFormatting xmlns:xm="http://schemas.microsoft.com/office/excel/2006/main">
          <x14:cfRule type="dataBar" id="{9ABE4D29-F334-4E69-8BB1-BE2082A5821C}">
            <x14:dataBar minLength="0" maxLength="100" gradient="0">
              <x14:cfvo type="num">
                <xm:f>0</xm:f>
              </x14:cfvo>
              <x14:cfvo type="num">
                <xm:f>100</xm:f>
              </x14:cfvo>
              <x14:negativeFillColor rgb="FFFF0000"/>
              <x14:axisColor rgb="FF000000"/>
            </x14:dataBar>
          </x14:cfRule>
          <xm:sqref>K17 K19 K23 K26 K28 K30 K33</xm:sqref>
        </x14:conditionalFormatting>
        <x14:conditionalFormatting xmlns:xm="http://schemas.microsoft.com/office/excel/2006/main">
          <x14:cfRule type="dataBar" id="{3F583058-1E51-469E-9FB7-48D1FE060202}">
            <x14:dataBar minLength="0" maxLength="100" border="1" negativeBarBorderColorSameAsPositive="0">
              <x14:cfvo type="autoMin"/>
              <x14:cfvo type="autoMax"/>
              <x14:borderColor rgb="FFFFB628"/>
              <x14:negativeFillColor rgb="FFFF0000"/>
              <x14:negativeBorderColor rgb="FFFF0000"/>
              <x14:axisColor rgb="FF000000"/>
            </x14:dataBar>
          </x14:cfRule>
          <xm:sqref>L17 L19 L23 L26 L28 L30 L33</xm:sqref>
        </x14:conditionalFormatting>
        <x14:conditionalFormatting xmlns:xm="http://schemas.microsoft.com/office/excel/2006/main">
          <x14:cfRule type="dataBar" id="{29FB5D3B-7C52-482E-869C-F3E939264E65}">
            <x14:dataBar minLength="0" maxLength="100" gradient="0">
              <x14:cfvo type="num">
                <xm:f>0</xm:f>
              </x14:cfvo>
              <x14:cfvo type="num">
                <xm:f>100</xm:f>
              </x14:cfvo>
              <x14:negativeFillColor rgb="FFFF0000"/>
              <x14:axisColor rgb="FF000000"/>
            </x14:dataBar>
          </x14:cfRule>
          <xm:sqref>L17 L19 L23 L26 L28 L30 L33</xm:sqref>
        </x14:conditionalFormatting>
        <x14:conditionalFormatting xmlns:xm="http://schemas.microsoft.com/office/excel/2006/main">
          <x14:cfRule type="dataBar" id="{710A4A2C-0278-47CE-A99E-8B9B3EC56C8A}">
            <x14:dataBar minLength="0" maxLength="100" border="1" negativeBarBorderColorSameAsPositive="0">
              <x14:cfvo type="autoMin"/>
              <x14:cfvo type="autoMax"/>
              <x14:borderColor rgb="FFFFB628"/>
              <x14:negativeFillColor rgb="FFFF0000"/>
              <x14:negativeBorderColor rgb="FFFF0000"/>
              <x14:axisColor rgb="FF000000"/>
            </x14:dataBar>
          </x14:cfRule>
          <xm:sqref>M17 M19 M23 M26 M28 M30 M33</xm:sqref>
        </x14:conditionalFormatting>
        <x14:conditionalFormatting xmlns:xm="http://schemas.microsoft.com/office/excel/2006/main">
          <x14:cfRule type="dataBar" id="{21ADC755-2598-4E9F-BD4D-2E6EFB63E21E}">
            <x14:dataBar minLength="0" maxLength="100" gradient="0">
              <x14:cfvo type="num">
                <xm:f>0</xm:f>
              </x14:cfvo>
              <x14:cfvo type="num">
                <xm:f>100</xm:f>
              </x14:cfvo>
              <x14:negativeFillColor rgb="FFFF0000"/>
              <x14:axisColor rgb="FF000000"/>
            </x14:dataBar>
          </x14:cfRule>
          <xm:sqref>M17 M19 M23 M26 M28 M30 M33</xm:sqref>
        </x14:conditionalFormatting>
        <x14:conditionalFormatting xmlns:xm="http://schemas.microsoft.com/office/excel/2006/main">
          <x14:cfRule type="dataBar" id="{BBA8D8CF-3FB3-48F7-8942-1CDB9C66A0DA}">
            <x14:dataBar minLength="0" maxLength="100" border="1" negativeBarBorderColorSameAsPositive="0">
              <x14:cfvo type="autoMin"/>
              <x14:cfvo type="autoMax"/>
              <x14:borderColor rgb="FFFFB628"/>
              <x14:negativeFillColor rgb="FFFF0000"/>
              <x14:negativeBorderColor rgb="FFFF0000"/>
              <x14:axisColor rgb="FF000000"/>
            </x14:dataBar>
          </x14:cfRule>
          <xm:sqref>C55</xm:sqref>
        </x14:conditionalFormatting>
        <x14:conditionalFormatting xmlns:xm="http://schemas.microsoft.com/office/excel/2006/main">
          <x14:cfRule type="dataBar" id="{EE2C6700-74F2-40D9-935D-8548270AF08C}">
            <x14:dataBar minLength="0" maxLength="100" border="1" negativeBarBorderColorSameAsPositive="0">
              <x14:cfvo type="autoMin"/>
              <x14:cfvo type="autoMax"/>
              <x14:borderColor rgb="FFFFB628"/>
              <x14:negativeFillColor rgb="FFFF0000"/>
              <x14:negativeBorderColor rgb="FFFF0000"/>
              <x14:axisColor rgb="FF000000"/>
            </x14:dataBar>
          </x14:cfRule>
          <xm:sqref>B48</xm:sqref>
        </x14:conditionalFormatting>
        <x14:conditionalFormatting xmlns:xm="http://schemas.microsoft.com/office/excel/2006/main">
          <x14:cfRule type="dataBar" id="{AEB6BA0B-8F31-4E36-BEE1-B8CAF3959C90}">
            <x14:dataBar minLength="0" maxLength="100" border="1" negativeBarBorderColorSameAsPositive="0">
              <x14:cfvo type="autoMin"/>
              <x14:cfvo type="autoMax"/>
              <x14:borderColor rgb="FFFFB628"/>
              <x14:negativeFillColor rgb="FFFF0000"/>
              <x14:negativeBorderColor rgb="FFFF0000"/>
              <x14:axisColor rgb="FF000000"/>
            </x14:dataBar>
          </x14:cfRule>
          <xm:sqref>B49</xm:sqref>
        </x14:conditionalFormatting>
        <x14:conditionalFormatting xmlns:xm="http://schemas.microsoft.com/office/excel/2006/main">
          <x14:cfRule type="dataBar" id="{D94A0781-A2CB-4A2B-8429-B524324A1334}">
            <x14:dataBar minLength="0" maxLength="100" border="1" negativeBarBorderColorSameAsPositive="0">
              <x14:cfvo type="autoMin"/>
              <x14:cfvo type="autoMax"/>
              <x14:borderColor rgb="FFFFB628"/>
              <x14:negativeFillColor rgb="FFFF0000"/>
              <x14:negativeBorderColor rgb="FFFF0000"/>
              <x14:axisColor rgb="FF000000"/>
            </x14:dataBar>
          </x14:cfRule>
          <xm:sqref>B50</xm:sqref>
        </x14:conditionalFormatting>
        <x14:conditionalFormatting xmlns:xm="http://schemas.microsoft.com/office/excel/2006/main">
          <x14:cfRule type="dataBar" id="{174B3147-F117-4BAC-9A1A-B3512F119377}">
            <x14:dataBar minLength="0" maxLength="100" border="1" negativeBarBorderColorSameAsPositive="0">
              <x14:cfvo type="autoMin"/>
              <x14:cfvo type="autoMax"/>
              <x14:borderColor rgb="FFFFB628"/>
              <x14:negativeFillColor rgb="FFFF0000"/>
              <x14:negativeBorderColor rgb="FFFF0000"/>
              <x14:axisColor rgb="FF000000"/>
            </x14:dataBar>
          </x14:cfRule>
          <xm:sqref>B51</xm:sqref>
        </x14:conditionalFormatting>
        <x14:conditionalFormatting xmlns:xm="http://schemas.microsoft.com/office/excel/2006/main">
          <x14:cfRule type="dataBar" id="{62DF411F-EAFB-4609-96BE-9DBC0439A265}">
            <x14:dataBar minLength="0" maxLength="100" border="1" negativeBarBorderColorSameAsPositive="0">
              <x14:cfvo type="autoMin"/>
              <x14:cfvo type="autoMax"/>
              <x14:borderColor rgb="FFFFB628"/>
              <x14:negativeFillColor rgb="FFFF0000"/>
              <x14:negativeBorderColor rgb="FFFF0000"/>
              <x14:axisColor rgb="FF000000"/>
            </x14:dataBar>
          </x14:cfRule>
          <xm:sqref>B52</xm:sqref>
        </x14:conditionalFormatting>
        <x14:conditionalFormatting xmlns:xm="http://schemas.microsoft.com/office/excel/2006/main">
          <x14:cfRule type="dataBar" id="{D1FC66CE-79D4-4C45-9770-6644315682EB}">
            <x14:dataBar minLength="0" maxLength="100" border="1" negativeBarBorderColorSameAsPositive="0">
              <x14:cfvo type="autoMin"/>
              <x14:cfvo type="autoMax"/>
              <x14:borderColor rgb="FFFFB628"/>
              <x14:negativeFillColor rgb="FFFF0000"/>
              <x14:negativeBorderColor rgb="FFFF0000"/>
              <x14:axisColor rgb="FF000000"/>
            </x14:dataBar>
          </x14:cfRule>
          <xm:sqref>B53</xm:sqref>
        </x14:conditionalFormatting>
        <x14:conditionalFormatting xmlns:xm="http://schemas.microsoft.com/office/excel/2006/main">
          <x14:cfRule type="dataBar" id="{B353D77B-A974-4260-9B50-8C0C301491D1}">
            <x14:dataBar minLength="0" maxLength="100" border="1" negativeBarBorderColorSameAsPositive="0">
              <x14:cfvo type="autoMin"/>
              <x14:cfvo type="autoMax"/>
              <x14:borderColor rgb="FFFFB628"/>
              <x14:negativeFillColor rgb="FFFF0000"/>
              <x14:negativeBorderColor rgb="FFFF0000"/>
              <x14:axisColor rgb="FF000000"/>
            </x14:dataBar>
          </x14:cfRule>
          <xm:sqref>B54</xm:sqref>
        </x14:conditionalFormatting>
        <x14:conditionalFormatting xmlns:xm="http://schemas.microsoft.com/office/excel/2006/main">
          <x14:cfRule type="dataBar" id="{B7B70FFB-ED9A-4FDD-8B1B-34FB6DAEFE2F}">
            <x14:dataBar minLength="0" maxLength="100" border="1" negativeBarBorderColorSameAsPositive="0">
              <x14:cfvo type="autoMin"/>
              <x14:cfvo type="autoMax"/>
              <x14:borderColor rgb="FFFFB628"/>
              <x14:negativeFillColor rgb="FFFF0000"/>
              <x14:negativeBorderColor rgb="FFFF0000"/>
              <x14:axisColor rgb="FF000000"/>
            </x14:dataBar>
          </x14:cfRule>
          <xm:sqref>B55</xm:sqref>
        </x14:conditionalFormatting>
        <x14:conditionalFormatting xmlns:xm="http://schemas.microsoft.com/office/excel/2006/main">
          <x14:cfRule type="dataBar" id="{91C65D75-625D-4BE9-9C27-219AD5A93C36}">
            <x14:dataBar minLength="0" maxLength="100" border="1" negativeBarBorderColorSameAsPositive="0">
              <x14:cfvo type="autoMin"/>
              <x14:cfvo type="autoMax"/>
              <x14:borderColor rgb="FFFFB628"/>
              <x14:negativeFillColor rgb="FFFF0000"/>
              <x14:negativeBorderColor rgb="FFFF0000"/>
              <x14:axisColor rgb="FF000000"/>
            </x14:dataBar>
          </x14:cfRule>
          <xm:sqref>I19 I17 I23 I26 I28 I30 I33</xm:sqref>
        </x14:conditionalFormatting>
        <x14:conditionalFormatting xmlns:xm="http://schemas.microsoft.com/office/excel/2006/main">
          <x14:cfRule type="dataBar" id="{BB6E794B-9F34-431D-A6A8-2BB6BF093DE2}">
            <x14:dataBar minLength="0" maxLength="100" gradient="0">
              <x14:cfvo type="num">
                <xm:f>0</xm:f>
              </x14:cfvo>
              <x14:cfvo type="num">
                <xm:f>100</xm:f>
              </x14:cfvo>
              <x14:negativeFillColor rgb="FFFF0000"/>
              <x14:axisColor rgb="FF000000"/>
            </x14:dataBar>
          </x14:cfRule>
          <xm:sqref>I17 I19 I23 I26 I28 I30 I33</xm:sqref>
        </x14:conditionalFormatting>
        <x14:conditionalFormatting xmlns:xm="http://schemas.microsoft.com/office/excel/2006/main">
          <x14:cfRule type="dataBar" id="{6E14BEB2-C85C-470F-B819-13DB005EB748}">
            <x14:dataBar minLength="0" maxLength="100" border="1" negativeBarBorderColorSameAsPositive="0">
              <x14:cfvo type="autoMin"/>
              <x14:cfvo type="autoMax"/>
              <x14:borderColor rgb="FFFFB628"/>
              <x14:negativeFillColor rgb="FFFF0000"/>
              <x14:negativeBorderColor rgb="FFFF0000"/>
              <x14:axisColor rgb="FF000000"/>
            </x14:dataBar>
          </x14:cfRule>
          <xm:sqref>D19:H19 D17:H17 D23:H23 D26:H26 D28:H28 D30:H30 D33:H33</xm:sqref>
        </x14:conditionalFormatting>
        <x14:conditionalFormatting xmlns:xm="http://schemas.microsoft.com/office/excel/2006/main">
          <x14:cfRule type="dataBar" id="{41244E8C-A3D4-4CB0-A682-9318E5341E57}">
            <x14:dataBar minLength="0" maxLength="100" gradient="0">
              <x14:cfvo type="num">
                <xm:f>0</xm:f>
              </x14:cfvo>
              <x14:cfvo type="num">
                <xm:f>100</xm:f>
              </x14:cfvo>
              <x14:negativeFillColor rgb="FFFF0000"/>
              <x14:axisColor rgb="FF000000"/>
            </x14:dataBar>
          </x14:cfRule>
          <xm:sqref>D17:H17 D19:H19 D23:H23 D26:H26 D28:H28 D30:H30 D33:H33</xm:sqref>
        </x14:conditionalFormatting>
        <x14:conditionalFormatting xmlns:xm="http://schemas.microsoft.com/office/excel/2006/main">
          <x14:cfRule type="dataBar" id="{F363723D-42C9-420C-84FB-4046A7B688FF}">
            <x14:dataBar minLength="0" maxLength="100" border="1" negativeBarBorderColorSameAsPositive="0">
              <x14:cfvo type="autoMin"/>
              <x14:cfvo type="autoMax"/>
              <x14:borderColor rgb="FFFFB628"/>
              <x14:negativeFillColor rgb="FFFF0000"/>
              <x14:negativeBorderColor rgb="FFFF0000"/>
              <x14:axisColor rgb="FF000000"/>
            </x14:dataBar>
          </x14:cfRule>
          <xm:sqref>B28 B30 B18:C18 B29:C29 B27:C27 C16 B20:C22 B24:C25 B31:C34 A24:A42</xm:sqref>
        </x14:conditionalFormatting>
        <x14:conditionalFormatting xmlns:xm="http://schemas.microsoft.com/office/excel/2006/main">
          <x14:cfRule type="dataBar" id="{CEAB8578-E097-4495-A27F-32FE39A083CD}">
            <x14:dataBar minLength="0" maxLength="100" border="1" negativeBarBorderColorSameAsPositive="0">
              <x14:cfvo type="autoMin"/>
              <x14:cfvo type="autoMax"/>
              <x14:borderColor rgb="FFFFB628"/>
              <x14:negativeFillColor rgb="FFFF0000"/>
              <x14:negativeBorderColor rgb="FFFF0000"/>
              <x14:axisColor rgb="FF000000"/>
            </x14:dataBar>
          </x14:cfRule>
          <xm:sqref>B16</xm:sqref>
        </x14:conditionalFormatting>
        <x14:conditionalFormatting xmlns:xm="http://schemas.microsoft.com/office/excel/2006/main">
          <x14:cfRule type="dataBar" id="{D51E0F7F-29F7-483A-91A9-5BDF039B9260}">
            <x14:dataBar minLength="0" maxLength="100" border="1" negativeBarBorderColorSameAsPositive="0">
              <x14:cfvo type="autoMin"/>
              <x14:cfvo type="autoMax"/>
              <x14:borderColor rgb="FFFFB628"/>
              <x14:negativeFillColor rgb="FFFF0000"/>
              <x14:negativeBorderColor rgb="FFFF0000"/>
              <x14:axisColor rgb="FF000000"/>
            </x14:dataBar>
          </x14:cfRule>
          <xm:sqref>Y55</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E01A2-C929-43B2-8935-DB60B09CE606}">
  <sheetPr>
    <tabColor rgb="FFC00000"/>
  </sheetPr>
  <dimension ref="A1:CAC104"/>
  <sheetViews>
    <sheetView showGridLines="0" showRowColHeaders="0" zoomScale="55" zoomScaleNormal="55" workbookViewId="0">
      <selection activeCell="N7" sqref="N7"/>
    </sheetView>
  </sheetViews>
  <sheetFormatPr defaultRowHeight="14.4" x14ac:dyDescent="0.3"/>
  <cols>
    <col min="1" max="9" width="1.6640625" customWidth="1"/>
    <col min="10" max="10" width="89.33203125" style="1" customWidth="1"/>
    <col min="11" max="11" width="6.33203125" bestFit="1" customWidth="1"/>
    <col min="12" max="12" width="35.44140625" customWidth="1"/>
    <col min="13" max="13" width="2.77734375" customWidth="1"/>
    <col min="14" max="14" width="134.6640625" customWidth="1"/>
    <col min="15" max="15" width="1.6640625" customWidth="1"/>
    <col min="16" max="30" width="5.6640625" hidden="1" customWidth="1"/>
    <col min="31" max="31" width="8.33203125" hidden="1" customWidth="1"/>
    <col min="32" max="36" width="5.6640625" hidden="1" customWidth="1"/>
    <col min="37" max="37" width="7.6640625" hidden="1" customWidth="1"/>
    <col min="38" max="38" width="28" customWidth="1"/>
    <col min="39" max="39" width="2.6640625" customWidth="1"/>
    <col min="40" max="40" width="8.33203125" style="108" customWidth="1"/>
    <col min="41" max="41" width="2.6640625" hidden="1" customWidth="1"/>
    <col min="42" max="42" width="18.6640625" style="109" customWidth="1"/>
    <col min="43" max="43" width="5.6640625" customWidth="1"/>
    <col min="44" max="44" width="97" customWidth="1"/>
    <col min="45" max="46" width="8.88671875" customWidth="1"/>
    <col min="47" max="47" width="8.6640625" customWidth="1"/>
    <col min="48" max="48" width="21.6640625" customWidth="1"/>
    <col min="49" max="50" width="8.88671875" customWidth="1"/>
    <col min="51" max="51" width="8.6640625" customWidth="1"/>
    <col min="52" max="52" width="21.6640625" customWidth="1"/>
    <col min="53" max="54" width="8.88671875" customWidth="1"/>
    <col min="55" max="55" width="8.6640625" customWidth="1"/>
    <col min="56" max="56" width="21.6640625" customWidth="1"/>
    <col min="57" max="63" width="8.88671875" customWidth="1"/>
    <col min="64" max="64" width="26.88671875" hidden="1" customWidth="1"/>
    <col min="65" max="66" width="1.6640625" style="207" hidden="1" customWidth="1"/>
    <col min="67" max="67" width="5.33203125" style="207" hidden="1" customWidth="1"/>
    <col min="68" max="68" width="8.88671875" hidden="1" customWidth="1"/>
    <col min="69" max="69" width="8.88671875" customWidth="1"/>
    <col min="2023" max="2060" width="1.77734375" customWidth="1"/>
  </cols>
  <sheetData>
    <row r="1" spans="1:67 2022:2057" ht="69" customHeight="1" thickBot="1" x14ac:dyDescent="0.35">
      <c r="BYT1" s="299"/>
      <c r="BYU1" s="299"/>
      <c r="BYV1" s="299"/>
      <c r="BYW1" s="299"/>
      <c r="BYX1" s="299"/>
      <c r="BYY1" s="299"/>
      <c r="BYZ1" s="299"/>
      <c r="BZA1" s="299"/>
      <c r="BZB1" s="299"/>
      <c r="BZC1" s="299"/>
      <c r="BZD1" s="299"/>
      <c r="BZE1" s="299"/>
      <c r="BZF1" s="299"/>
      <c r="BZG1" s="299"/>
      <c r="BZH1" s="299"/>
      <c r="BZI1" s="299"/>
      <c r="BZJ1" s="299"/>
      <c r="BZK1" s="299"/>
      <c r="BZL1" s="299"/>
      <c r="BZM1" s="299"/>
      <c r="BZN1" s="299"/>
      <c r="BZO1" s="299"/>
      <c r="BZP1" s="299"/>
      <c r="BZQ1" s="299"/>
      <c r="BZR1" s="299"/>
      <c r="BZS1" s="299"/>
      <c r="BZT1" s="299"/>
      <c r="BZU1" s="299"/>
      <c r="BZV1" s="299"/>
      <c r="BZW1" s="299"/>
      <c r="BZX1" s="299"/>
      <c r="BZY1" s="299"/>
      <c r="BZZ1" s="277"/>
      <c r="CAA1" s="278"/>
      <c r="CAB1" s="278"/>
      <c r="CAC1" s="279"/>
    </row>
    <row r="2" spans="1:67 2022:2057" ht="91.8" x14ac:dyDescent="1.65">
      <c r="K2" s="291"/>
      <c r="L2" s="550"/>
      <c r="M2" s="267"/>
      <c r="N2" s="550" t="s">
        <v>18</v>
      </c>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303"/>
      <c r="AN2" s="303"/>
      <c r="AO2" s="304"/>
      <c r="AP2" s="371"/>
      <c r="BYT2" s="299"/>
      <c r="BYU2" s="299"/>
      <c r="BYV2" s="299"/>
      <c r="BYW2" s="299"/>
      <c r="BYX2" s="299"/>
      <c r="BYY2" s="299"/>
      <c r="BYZ2" s="299"/>
      <c r="BZA2" s="299"/>
      <c r="BZB2" s="299"/>
      <c r="BZC2" s="299"/>
      <c r="BZD2" s="299"/>
      <c r="BZE2" s="299"/>
      <c r="BZF2" s="299"/>
      <c r="BZG2" s="299"/>
      <c r="BZH2" s="299"/>
      <c r="BZI2" s="299"/>
      <c r="BZJ2" s="299"/>
      <c r="BZK2" s="299"/>
      <c r="BZL2" s="299"/>
      <c r="BZM2" s="299"/>
      <c r="BZN2" s="299"/>
      <c r="BZO2" s="299"/>
      <c r="BZP2" s="299"/>
      <c r="BZQ2" s="299"/>
      <c r="BZR2" s="299"/>
      <c r="BZS2" s="299"/>
      <c r="BZT2" s="299"/>
      <c r="BZU2" s="299"/>
      <c r="BZV2" s="299"/>
      <c r="BZW2" s="299"/>
      <c r="BZX2" s="299"/>
      <c r="BZY2" s="299"/>
      <c r="BZZ2" s="280"/>
      <c r="CAA2" s="281"/>
      <c r="CAB2" s="281"/>
      <c r="CAC2" s="282"/>
    </row>
    <row r="3" spans="1:67 2022:2057" ht="34.200000000000003" thickBot="1" x14ac:dyDescent="0.7">
      <c r="K3" s="292"/>
      <c r="L3" s="647"/>
      <c r="M3" s="164"/>
      <c r="N3" s="647" t="s">
        <v>19</v>
      </c>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301"/>
      <c r="AN3" s="301"/>
      <c r="AO3" s="302"/>
      <c r="AP3" s="379"/>
      <c r="BYT3" s="299"/>
      <c r="BYU3" s="299"/>
      <c r="BYV3" s="299"/>
      <c r="BYW3" s="299"/>
      <c r="BYX3" s="299"/>
      <c r="BYY3" s="299"/>
      <c r="BYZ3" s="299"/>
      <c r="BZA3" s="299"/>
      <c r="BZB3" s="299"/>
      <c r="BZC3" s="299"/>
      <c r="BZD3" s="299"/>
      <c r="BZE3" s="299"/>
      <c r="BZF3" s="299"/>
      <c r="BZG3" s="299"/>
      <c r="BZH3" s="299"/>
      <c r="BZI3" s="299"/>
      <c r="BZJ3" s="299"/>
      <c r="BZK3" s="299"/>
      <c r="BZL3" s="299"/>
      <c r="BZM3" s="299"/>
      <c r="BZN3" s="299"/>
      <c r="BZO3" s="299"/>
      <c r="BZP3" s="299"/>
      <c r="BZQ3" s="299"/>
      <c r="BZR3" s="299"/>
      <c r="BZS3" s="299"/>
      <c r="BZT3" s="299"/>
      <c r="BZU3" s="299"/>
      <c r="BZV3" s="299"/>
      <c r="BZW3" s="299"/>
      <c r="BZX3" s="299"/>
      <c r="BZY3" s="299"/>
      <c r="BZZ3" s="280"/>
      <c r="CAA3" s="281"/>
      <c r="CAB3" s="281"/>
      <c r="CAC3" s="282"/>
    </row>
    <row r="4" spans="1:67 2022:2057" ht="15.6" x14ac:dyDescent="0.3">
      <c r="K4" s="291"/>
      <c r="L4" s="305" t="s">
        <v>21</v>
      </c>
      <c r="M4" s="682" t="str">
        <f>IF(N4="","         voer hier de projectnaam in","")</f>
        <v/>
      </c>
      <c r="N4" s="745" t="str">
        <f>'invoer Basis'!N4</f>
        <v>Projectnaam</v>
      </c>
      <c r="O4" s="267"/>
      <c r="P4" s="267"/>
      <c r="Q4" s="267"/>
      <c r="R4" s="267"/>
      <c r="S4" s="267"/>
      <c r="T4" s="267"/>
      <c r="U4" s="267"/>
      <c r="V4" s="267"/>
      <c r="W4" s="267"/>
      <c r="X4" s="267"/>
      <c r="Y4" s="267"/>
      <c r="Z4" s="267"/>
      <c r="AA4" s="267"/>
      <c r="AB4" s="267"/>
      <c r="AC4" s="267"/>
      <c r="AD4" s="267"/>
      <c r="AE4" s="267"/>
      <c r="AF4" s="267"/>
      <c r="AG4" s="267"/>
      <c r="AH4" s="267"/>
      <c r="AI4" s="267"/>
      <c r="AJ4" s="267"/>
      <c r="AK4" s="267"/>
      <c r="AL4" s="698"/>
      <c r="AM4" s="698"/>
      <c r="AN4" s="702"/>
      <c r="AO4" s="304"/>
      <c r="AP4" s="703"/>
      <c r="BYT4" s="299"/>
      <c r="BYU4" s="299"/>
      <c r="BYV4" s="299"/>
      <c r="BYW4" s="299"/>
      <c r="BYX4" s="299"/>
      <c r="BYY4" s="299"/>
      <c r="BYZ4" s="299"/>
      <c r="BZA4" s="299"/>
      <c r="BZB4" s="299"/>
      <c r="BZC4" s="299"/>
      <c r="BZD4" s="299"/>
      <c r="BZE4" s="299"/>
      <c r="BZF4" s="299"/>
      <c r="BZG4" s="299"/>
      <c r="BZH4" s="299"/>
      <c r="BZI4" s="299"/>
      <c r="BZJ4" s="299"/>
      <c r="BZK4" s="299"/>
      <c r="BZL4" s="299"/>
      <c r="BZM4" s="299"/>
      <c r="BZN4" s="299"/>
      <c r="BZO4" s="299"/>
      <c r="BZP4" s="299"/>
      <c r="BZQ4" s="299"/>
      <c r="BZR4" s="299"/>
      <c r="BZS4" s="299"/>
      <c r="BZT4" s="299"/>
      <c r="BZU4" s="299"/>
      <c r="BZV4" s="299"/>
      <c r="BZW4" s="299"/>
      <c r="BZX4" s="299"/>
      <c r="BZY4" s="299"/>
      <c r="BZZ4" s="280"/>
      <c r="CAA4" s="281"/>
      <c r="CAB4" s="281"/>
      <c r="CAC4" s="282"/>
    </row>
    <row r="5" spans="1:67 2022:2057" ht="15.6" x14ac:dyDescent="0.3">
      <c r="K5" s="275"/>
      <c r="L5" s="305" t="s">
        <v>313</v>
      </c>
      <c r="M5" s="682" t="str">
        <f>IF(N5="","         voer hier de naam van de opdrachtgever in","")</f>
        <v/>
      </c>
      <c r="N5" s="745" t="str">
        <f>'invoer Basis'!N5</f>
        <v>Naam opdrachtgever</v>
      </c>
      <c r="O5" s="20"/>
      <c r="P5" s="20"/>
      <c r="Q5" s="20"/>
      <c r="R5" s="20"/>
      <c r="S5" s="20"/>
      <c r="T5" s="20"/>
      <c r="U5" s="20"/>
      <c r="V5" s="20"/>
      <c r="W5" s="20"/>
      <c r="X5" s="20"/>
      <c r="Y5" s="20"/>
      <c r="Z5" s="20"/>
      <c r="AA5" s="20"/>
      <c r="AB5" s="20"/>
      <c r="AC5" s="20"/>
      <c r="AD5" s="20"/>
      <c r="AE5" s="20"/>
      <c r="AF5" s="20"/>
      <c r="AG5" s="20"/>
      <c r="AH5" s="20"/>
      <c r="AI5" s="20"/>
      <c r="AJ5" s="20"/>
      <c r="AK5" s="20"/>
      <c r="AL5" s="167"/>
      <c r="AM5" s="167"/>
      <c r="AN5" s="183"/>
      <c r="AO5" s="20"/>
      <c r="AP5" s="707" t="s">
        <v>372</v>
      </c>
      <c r="BYT5" s="299"/>
      <c r="BYU5" s="299"/>
      <c r="BYV5" s="299"/>
      <c r="BYW5" s="299"/>
      <c r="BYX5" s="299"/>
      <c r="BYY5" s="299"/>
      <c r="BYZ5" s="299"/>
      <c r="BZA5" s="299"/>
      <c r="BZB5" s="299"/>
      <c r="BZC5" s="299"/>
      <c r="BZD5" s="299"/>
      <c r="BZE5" s="299"/>
      <c r="BZF5" s="299"/>
      <c r="BZG5" s="299"/>
      <c r="BZH5" s="299"/>
      <c r="BZI5" s="299"/>
      <c r="BZJ5" s="299"/>
      <c r="BZK5" s="299"/>
      <c r="BZL5" s="299"/>
      <c r="BZM5" s="299"/>
      <c r="BZN5" s="299"/>
      <c r="BZO5" s="299"/>
      <c r="BZP5" s="299"/>
      <c r="BZQ5" s="299"/>
      <c r="BZR5" s="299"/>
      <c r="BZS5" s="299"/>
      <c r="BZT5" s="299"/>
      <c r="BZU5" s="299"/>
      <c r="BZV5" s="299"/>
      <c r="BZW5" s="299"/>
      <c r="BZX5" s="299"/>
      <c r="BZY5" s="299"/>
      <c r="BZZ5" s="280"/>
      <c r="CAA5" s="281"/>
      <c r="CAB5" s="281"/>
      <c r="CAC5" s="282"/>
    </row>
    <row r="6" spans="1:67 2022:2057" ht="15.6" x14ac:dyDescent="0.3">
      <c r="K6" s="275"/>
      <c r="L6" s="305" t="s">
        <v>316</v>
      </c>
      <c r="M6" s="682" t="str">
        <f>IF(N6="","         voer hier de locatie van het project in","")</f>
        <v/>
      </c>
      <c r="N6" s="745" t="str">
        <f>'invoer Basis'!N6</f>
        <v>Plaatsnaam</v>
      </c>
      <c r="O6" s="20"/>
      <c r="P6" s="20"/>
      <c r="Q6" s="20"/>
      <c r="R6" s="20"/>
      <c r="S6" s="20"/>
      <c r="T6" s="20"/>
      <c r="U6" s="20"/>
      <c r="V6" s="20"/>
      <c r="W6" s="20"/>
      <c r="X6" s="20"/>
      <c r="Y6" s="20"/>
      <c r="Z6" s="20"/>
      <c r="AA6" s="20"/>
      <c r="AB6" s="20"/>
      <c r="AC6" s="20"/>
      <c r="AD6" s="20"/>
      <c r="AE6" s="20"/>
      <c r="AF6" s="20"/>
      <c r="AG6" s="20"/>
      <c r="AH6" s="20"/>
      <c r="AI6" s="20"/>
      <c r="AJ6" s="20"/>
      <c r="AK6" s="20"/>
      <c r="AL6" s="167"/>
      <c r="AM6" s="694"/>
      <c r="AN6" s="686"/>
      <c r="AO6" s="687"/>
      <c r="AP6" s="704" t="s">
        <v>661</v>
      </c>
      <c r="BYT6" s="299"/>
      <c r="BYU6" s="299"/>
      <c r="BYV6" s="299"/>
      <c r="BYW6" s="299"/>
      <c r="BYX6" s="299"/>
      <c r="BYY6" s="299"/>
      <c r="BYZ6" s="299"/>
      <c r="BZA6" s="299"/>
      <c r="BZB6" s="299"/>
      <c r="BZC6" s="299"/>
      <c r="BZD6" s="299"/>
      <c r="BZE6" s="299"/>
      <c r="BZF6" s="299"/>
      <c r="BZG6" s="299"/>
      <c r="BZH6" s="299"/>
      <c r="BZI6" s="299"/>
      <c r="BZJ6" s="299"/>
      <c r="BZK6" s="299"/>
      <c r="BZL6" s="299"/>
      <c r="BZM6" s="299"/>
      <c r="BZN6" s="299"/>
      <c r="BZO6" s="299"/>
      <c r="BZP6" s="299"/>
      <c r="BZQ6" s="299"/>
      <c r="BZR6" s="299"/>
      <c r="BZS6" s="299"/>
      <c r="BZT6" s="299"/>
      <c r="BZU6" s="299"/>
      <c r="BZV6" s="299"/>
      <c r="BZW6" s="299"/>
      <c r="BZX6" s="299"/>
      <c r="BZY6" s="299"/>
      <c r="BZZ6" s="280"/>
      <c r="CAA6" s="281"/>
      <c r="CAB6" s="281"/>
      <c r="CAC6" s="282"/>
    </row>
    <row r="7" spans="1:67 2022:2057" ht="15.6" x14ac:dyDescent="0.3">
      <c r="K7" s="275"/>
      <c r="L7" s="305" t="s">
        <v>317</v>
      </c>
      <c r="M7" s="684" t="str">
        <f>IF(N7="","         voer hier de naam van het berekende alternatief in","")</f>
        <v/>
      </c>
      <c r="N7" s="746" t="s">
        <v>440</v>
      </c>
      <c r="O7" s="20"/>
      <c r="P7" s="20"/>
      <c r="Q7" s="20"/>
      <c r="R7" s="20"/>
      <c r="S7" s="20"/>
      <c r="T7" s="20"/>
      <c r="U7" s="20"/>
      <c r="V7" s="20"/>
      <c r="W7" s="20"/>
      <c r="X7" s="20"/>
      <c r="Y7" s="20"/>
      <c r="Z7" s="20"/>
      <c r="AA7" s="20"/>
      <c r="AB7" s="20"/>
      <c r="AC7" s="20"/>
      <c r="AD7" s="20"/>
      <c r="AE7" s="20"/>
      <c r="AF7" s="20"/>
      <c r="AG7" s="20"/>
      <c r="AH7" s="20"/>
      <c r="AI7" s="20"/>
      <c r="AJ7" s="20"/>
      <c r="AK7" s="20"/>
      <c r="AL7" s="167"/>
      <c r="AM7" s="167"/>
      <c r="AN7" s="183"/>
      <c r="AO7" s="20"/>
      <c r="AP7" s="617"/>
      <c r="BYT7" s="299"/>
      <c r="BYU7" s="299"/>
      <c r="BYV7" s="299"/>
      <c r="BYW7" s="299"/>
      <c r="BYX7" s="299"/>
      <c r="BYY7" s="299"/>
      <c r="BYZ7" s="299"/>
      <c r="BZA7" s="299"/>
      <c r="BZB7" s="299"/>
      <c r="BZC7" s="299"/>
      <c r="BZD7" s="299"/>
      <c r="BZE7" s="299"/>
      <c r="BZF7" s="299"/>
      <c r="BZG7" s="299"/>
      <c r="BZH7" s="299"/>
      <c r="BZI7" s="299"/>
      <c r="BZJ7" s="299"/>
      <c r="BZK7" s="299"/>
      <c r="BZL7" s="299"/>
      <c r="BZM7" s="299"/>
      <c r="BZN7" s="299"/>
      <c r="BZO7" s="299"/>
      <c r="BZP7" s="299"/>
      <c r="BZQ7" s="299"/>
      <c r="BZR7" s="299"/>
      <c r="BZS7" s="299"/>
      <c r="BZT7" s="299"/>
      <c r="BZU7" s="299"/>
      <c r="BZV7" s="299"/>
      <c r="BZW7" s="299"/>
      <c r="BZX7" s="299"/>
      <c r="BZY7" s="299"/>
      <c r="BZZ7" s="280"/>
      <c r="CAA7" s="281"/>
      <c r="CAB7" s="281"/>
      <c r="CAC7" s="282"/>
    </row>
    <row r="8" spans="1:67 2022:2057" ht="15.6" x14ac:dyDescent="0.3">
      <c r="K8" s="275"/>
      <c r="L8" s="305" t="s">
        <v>315</v>
      </c>
      <c r="M8" s="683"/>
      <c r="N8" s="839" t="str">
        <f>'invoer Basis'!$N$8</f>
        <v>verkenningsfase</v>
      </c>
      <c r="O8" s="20"/>
      <c r="P8" s="20"/>
      <c r="Q8" s="20"/>
      <c r="R8" s="20"/>
      <c r="S8" s="20"/>
      <c r="T8" s="20"/>
      <c r="U8" s="20"/>
      <c r="V8" s="20"/>
      <c r="W8" s="20"/>
      <c r="X8" s="20"/>
      <c r="Y8" s="20"/>
      <c r="Z8" s="20"/>
      <c r="AA8" s="20"/>
      <c r="AB8" s="20"/>
      <c r="AC8" s="20"/>
      <c r="AD8" s="20"/>
      <c r="AE8" s="20"/>
      <c r="AF8" s="20"/>
      <c r="AG8" s="20"/>
      <c r="AH8" s="20"/>
      <c r="AI8" s="20"/>
      <c r="AJ8" s="20"/>
      <c r="AK8" s="20"/>
      <c r="AL8" s="167"/>
      <c r="AM8" s="167"/>
      <c r="AN8" s="183"/>
      <c r="AO8" s="302"/>
      <c r="AP8" s="617"/>
      <c r="BYT8" s="299"/>
      <c r="BYU8" s="299"/>
      <c r="BYV8" s="299"/>
      <c r="BYW8" s="299"/>
      <c r="BYX8" s="299"/>
      <c r="BYY8" s="299"/>
      <c r="BYZ8" s="299"/>
      <c r="BZA8" s="299"/>
      <c r="BZB8" s="299"/>
      <c r="BZC8" s="299"/>
      <c r="BZD8" s="299"/>
      <c r="BZE8" s="299"/>
      <c r="BZF8" s="299"/>
      <c r="BZG8" s="299"/>
      <c r="BZH8" s="299"/>
      <c r="BZI8" s="299"/>
      <c r="BZJ8" s="299"/>
      <c r="BZK8" s="299"/>
      <c r="BZL8" s="299"/>
      <c r="BZM8" s="299"/>
      <c r="BZN8" s="299"/>
      <c r="BZO8" s="299"/>
      <c r="BZP8" s="299"/>
      <c r="BZQ8" s="299"/>
      <c r="BZR8" s="299"/>
      <c r="BZS8" s="299"/>
      <c r="BZT8" s="299"/>
      <c r="BZU8" s="299"/>
      <c r="BZV8" s="299"/>
      <c r="BZW8" s="299"/>
      <c r="BZX8" s="299"/>
      <c r="BZY8" s="299"/>
      <c r="BZZ8" s="280"/>
      <c r="CAA8" s="281"/>
      <c r="CAB8" s="281"/>
      <c r="CAC8" s="282"/>
    </row>
    <row r="9" spans="1:67 2022:2057" ht="15.6" x14ac:dyDescent="0.3">
      <c r="K9" s="275"/>
      <c r="L9" s="305"/>
      <c r="M9" s="681"/>
      <c r="N9" s="743" t="str">
        <f>IF(N8="","klik op het blauwe vlak en selecteer via het pull down menu de te beoordelen fase waarin het project zich bevindt (t.b.v. bepaling weegfactoren)","")</f>
        <v/>
      </c>
      <c r="O9" s="20"/>
      <c r="P9" s="20"/>
      <c r="Q9" s="20"/>
      <c r="R9" s="20"/>
      <c r="S9" s="20"/>
      <c r="T9" s="20"/>
      <c r="U9" s="20"/>
      <c r="V9" s="20"/>
      <c r="W9" s="20"/>
      <c r="X9" s="20"/>
      <c r="Y9" s="20"/>
      <c r="Z9" s="20"/>
      <c r="AA9" s="20"/>
      <c r="AB9" s="20"/>
      <c r="AC9" s="20"/>
      <c r="AD9" s="20"/>
      <c r="AE9" s="20"/>
      <c r="AF9" s="20"/>
      <c r="AG9" s="20"/>
      <c r="AH9" s="20"/>
      <c r="AI9" s="20"/>
      <c r="AJ9" s="20"/>
      <c r="AK9" s="20"/>
      <c r="AL9" s="167"/>
      <c r="AM9" s="694"/>
      <c r="AN9" s="688"/>
      <c r="AO9" s="687"/>
      <c r="AP9" s="707" t="s">
        <v>20</v>
      </c>
      <c r="BYT9" s="299"/>
      <c r="BYU9" s="299"/>
      <c r="BYV9" s="299"/>
      <c r="BYW9" s="299"/>
      <c r="BYX9" s="299"/>
      <c r="BYY9" s="299"/>
      <c r="BYZ9" s="299"/>
      <c r="BZA9" s="299"/>
      <c r="BZB9" s="299"/>
      <c r="BZC9" s="299"/>
      <c r="BZD9" s="299"/>
      <c r="BZE9" s="299"/>
      <c r="BZF9" s="299"/>
      <c r="BZG9" s="299"/>
      <c r="BZH9" s="299"/>
      <c r="BZI9" s="299"/>
      <c r="BZJ9" s="299"/>
      <c r="BZK9" s="299"/>
      <c r="BZL9" s="299"/>
      <c r="BZM9" s="299"/>
      <c r="BZN9" s="299"/>
      <c r="BZO9" s="299"/>
      <c r="BZP9" s="299"/>
      <c r="BZQ9" s="299"/>
      <c r="BZR9" s="299"/>
      <c r="BZS9" s="299"/>
      <c r="BZT9" s="299"/>
      <c r="BZU9" s="299"/>
      <c r="BZV9" s="299"/>
      <c r="BZW9" s="299"/>
      <c r="BZX9" s="299"/>
      <c r="BZY9" s="299"/>
      <c r="BZZ9" s="280"/>
      <c r="CAA9" s="281"/>
      <c r="CAB9" s="281"/>
      <c r="CAC9" s="282"/>
    </row>
    <row r="10" spans="1:67 2022:2057" ht="15.6" x14ac:dyDescent="0.3">
      <c r="K10" s="275"/>
      <c r="L10" s="305" t="s">
        <v>23</v>
      </c>
      <c r="M10" s="552" t="str">
        <f>IF(N10="","         klik op dit vlak om tekst in te voeren","")</f>
        <v/>
      </c>
      <c r="N10" s="739" t="s">
        <v>446</v>
      </c>
      <c r="O10" s="20"/>
      <c r="P10" s="20"/>
      <c r="Q10" s="20"/>
      <c r="R10" s="20"/>
      <c r="S10" s="20"/>
      <c r="T10" s="20"/>
      <c r="U10" s="20"/>
      <c r="V10" s="20"/>
      <c r="W10" s="20"/>
      <c r="X10" s="20"/>
      <c r="Y10" s="20"/>
      <c r="Z10" s="20"/>
      <c r="AA10" s="20"/>
      <c r="AB10" s="20"/>
      <c r="AC10" s="20"/>
      <c r="AD10" s="20"/>
      <c r="AE10" s="20"/>
      <c r="AF10" s="20"/>
      <c r="AG10" s="20"/>
      <c r="AH10" s="20"/>
      <c r="AI10" s="20"/>
      <c r="AJ10" s="20"/>
      <c r="AK10" s="20"/>
      <c r="AL10" s="167"/>
      <c r="AM10" s="694"/>
      <c r="AN10" s="689"/>
      <c r="AO10" s="687"/>
      <c r="AP10" s="704">
        <v>18012022</v>
      </c>
      <c r="BYT10" s="299"/>
      <c r="BYU10" s="299"/>
      <c r="BYV10" s="299"/>
      <c r="BYW10" s="299"/>
      <c r="BYX10" s="299"/>
      <c r="BYY10" s="299"/>
      <c r="BYZ10" s="299"/>
      <c r="BZA10" s="299"/>
      <c r="BZB10" s="299"/>
      <c r="BZC10" s="299"/>
      <c r="BZD10" s="299"/>
      <c r="BZE10" s="299"/>
      <c r="BZF10" s="299"/>
      <c r="BZG10" s="299"/>
      <c r="BZH10" s="299"/>
      <c r="BZI10" s="299"/>
      <c r="BZJ10" s="299"/>
      <c r="BZK10" s="299"/>
      <c r="BZL10" s="299"/>
      <c r="BZM10" s="299"/>
      <c r="BZN10" s="299"/>
      <c r="BZO10" s="299"/>
      <c r="BZP10" s="299"/>
      <c r="BZQ10" s="299"/>
      <c r="BZR10" s="299"/>
      <c r="BZS10" s="299"/>
      <c r="BZT10" s="299"/>
      <c r="BZU10" s="299"/>
      <c r="BZV10" s="299"/>
      <c r="BZW10" s="299"/>
      <c r="BZX10" s="299"/>
      <c r="BZY10" s="299"/>
      <c r="BZZ10" s="280"/>
      <c r="CAA10" s="281"/>
      <c r="CAB10" s="281"/>
      <c r="CAC10" s="282"/>
    </row>
    <row r="11" spans="1:67 2022:2057" ht="15.6" x14ac:dyDescent="0.3">
      <c r="K11" s="275"/>
      <c r="L11" s="305" t="s">
        <v>24</v>
      </c>
      <c r="M11" s="552" t="str">
        <f>IF(N11="","         klik op dit vlak om tekst in te voeren","")</f>
        <v/>
      </c>
      <c r="N11" s="774" t="s">
        <v>447</v>
      </c>
      <c r="O11" s="20"/>
      <c r="P11" s="20"/>
      <c r="Q11" s="20"/>
      <c r="R11" s="20"/>
      <c r="S11" s="20"/>
      <c r="T11" s="20"/>
      <c r="U11" s="20"/>
      <c r="V11" s="20"/>
      <c r="W11" s="20"/>
      <c r="X11" s="20"/>
      <c r="Y11" s="20"/>
      <c r="Z11" s="20"/>
      <c r="AA11" s="20"/>
      <c r="AB11" s="20"/>
      <c r="AC11" s="20"/>
      <c r="AD11" s="20"/>
      <c r="AE11" s="20"/>
      <c r="AF11" s="20"/>
      <c r="AG11" s="20"/>
      <c r="AH11" s="20"/>
      <c r="AI11" s="20"/>
      <c r="AJ11" s="20"/>
      <c r="AK11" s="20"/>
      <c r="AL11" s="167"/>
      <c r="AM11" s="694"/>
      <c r="AN11" s="689"/>
      <c r="AO11" s="687"/>
      <c r="AP11" s="705"/>
      <c r="BYT11" s="299"/>
      <c r="BYU11" s="299"/>
      <c r="BYV11" s="299"/>
      <c r="BYW11" s="299"/>
      <c r="BYX11" s="299"/>
      <c r="BYY11" s="299"/>
      <c r="BYZ11" s="299"/>
      <c r="BZA11" s="299"/>
      <c r="BZB11" s="299"/>
      <c r="BZC11" s="299"/>
      <c r="BZD11" s="299"/>
      <c r="BZE11" s="299"/>
      <c r="BZF11" s="299"/>
      <c r="BZG11" s="299"/>
      <c r="BZH11" s="299"/>
      <c r="BZI11" s="299"/>
      <c r="BZJ11" s="299"/>
      <c r="BZK11" s="299"/>
      <c r="BZL11" s="299"/>
      <c r="BZM11" s="299"/>
      <c r="BZN11" s="299"/>
      <c r="BZO11" s="299"/>
      <c r="BZP11" s="299"/>
      <c r="BZQ11" s="299"/>
      <c r="BZR11" s="299"/>
      <c r="BZS11" s="299"/>
      <c r="BZT11" s="299"/>
      <c r="BZU11" s="299"/>
      <c r="BZV11" s="299"/>
      <c r="BZW11" s="299"/>
      <c r="BZX11" s="299"/>
      <c r="BZY11" s="299"/>
      <c r="BZZ11" s="280"/>
      <c r="CAA11" s="281"/>
      <c r="CAB11" s="281"/>
      <c r="CAC11" s="282"/>
    </row>
    <row r="12" spans="1:67 2022:2057" ht="16.2" thickBot="1" x14ac:dyDescent="0.35">
      <c r="K12" s="276"/>
      <c r="L12" s="306" t="s">
        <v>25</v>
      </c>
      <c r="M12" s="556" t="str">
        <f>IF(N12="","         klik op dit vlak om tekst in te voeren","")</f>
        <v/>
      </c>
      <c r="N12" s="744" t="s">
        <v>448</v>
      </c>
      <c r="O12" s="164"/>
      <c r="P12" s="164"/>
      <c r="Q12" s="164"/>
      <c r="R12" s="164"/>
      <c r="S12" s="164"/>
      <c r="T12" s="164"/>
      <c r="U12" s="164"/>
      <c r="V12" s="164"/>
      <c r="W12" s="164"/>
      <c r="X12" s="164"/>
      <c r="Y12" s="164"/>
      <c r="Z12" s="164"/>
      <c r="AA12" s="164"/>
      <c r="AB12" s="164"/>
      <c r="AC12" s="164"/>
      <c r="AD12" s="164"/>
      <c r="AE12" s="164"/>
      <c r="AF12" s="164"/>
      <c r="AG12" s="164"/>
      <c r="AH12" s="164"/>
      <c r="AI12" s="164"/>
      <c r="AJ12" s="164"/>
      <c r="AK12" s="164"/>
      <c r="AL12" s="700"/>
      <c r="AM12" s="701"/>
      <c r="AN12" s="690"/>
      <c r="AO12" s="691"/>
      <c r="AP12" s="706"/>
      <c r="BYT12" s="299"/>
      <c r="BYU12" s="299"/>
      <c r="BYV12" s="299"/>
      <c r="BYW12" s="299"/>
      <c r="BYX12" s="299"/>
      <c r="BYY12" s="299"/>
      <c r="BYZ12" s="299"/>
      <c r="BZA12" s="299"/>
      <c r="BZB12" s="299"/>
      <c r="BZC12" s="299"/>
      <c r="BZD12" s="299"/>
      <c r="BZE12" s="299"/>
      <c r="BZF12" s="299"/>
      <c r="BZG12" s="299"/>
      <c r="BZH12" s="299"/>
      <c r="BZI12" s="299"/>
      <c r="BZJ12" s="299"/>
      <c r="BZK12" s="299"/>
      <c r="BZL12" s="299"/>
      <c r="BZM12" s="299"/>
      <c r="BZN12" s="299"/>
      <c r="BZO12" s="299"/>
      <c r="BZP12" s="299"/>
      <c r="BZQ12" s="299"/>
      <c r="BZR12" s="299"/>
      <c r="BZS12" s="299"/>
      <c r="BZT12" s="299"/>
      <c r="BZU12" s="299"/>
      <c r="BZV12" s="299"/>
      <c r="BZW12" s="299"/>
      <c r="BZX12" s="299"/>
      <c r="BZY12" s="299"/>
      <c r="BZZ12" s="280"/>
      <c r="CAA12" s="281"/>
      <c r="CAB12" s="281"/>
      <c r="CAC12" s="282"/>
    </row>
    <row r="13" spans="1:67 2022:2057" ht="14.4" customHeight="1" x14ac:dyDescent="0.3">
      <c r="N13" s="544"/>
      <c r="BYT13" s="299"/>
      <c r="BYU13" s="299"/>
      <c r="BYV13" s="299"/>
      <c r="BYW13" s="299"/>
      <c r="BYX13" s="299"/>
      <c r="BYY13" s="299"/>
      <c r="BYZ13" s="299"/>
      <c r="BZA13" s="299"/>
      <c r="BZB13" s="299"/>
      <c r="BZC13" s="299"/>
      <c r="BZD13" s="299"/>
      <c r="BZE13" s="299"/>
      <c r="BZF13" s="299"/>
      <c r="BZG13" s="299"/>
      <c r="BZH13" s="299"/>
      <c r="BZI13" s="299"/>
      <c r="BZJ13" s="299"/>
      <c r="BZK13" s="299"/>
      <c r="BZL13" s="299"/>
      <c r="BZM13" s="299"/>
      <c r="BZN13" s="299"/>
      <c r="BZO13" s="299"/>
      <c r="BZP13" s="299"/>
      <c r="BZQ13" s="299"/>
      <c r="BZR13" s="299"/>
      <c r="BZS13" s="299"/>
      <c r="BZT13" s="299"/>
      <c r="BZU13" s="299"/>
      <c r="BZV13" s="299"/>
      <c r="BZW13" s="299"/>
      <c r="BZX13" s="299"/>
      <c r="BZY13" s="299"/>
      <c r="BZZ13" s="280"/>
      <c r="CAA13" s="281"/>
      <c r="CAB13" s="281"/>
      <c r="CAC13" s="282"/>
    </row>
    <row r="14" spans="1:67 2022:2057" s="372" customFormat="1" ht="14.4" hidden="1" customHeight="1" x14ac:dyDescent="0.3">
      <c r="J14" s="373"/>
      <c r="L14" s="557"/>
      <c r="M14" s="555"/>
      <c r="N14" s="544" t="s">
        <v>26</v>
      </c>
      <c r="AN14" s="374"/>
      <c r="AP14" s="618"/>
      <c r="BM14" s="375"/>
      <c r="BN14" s="375"/>
      <c r="BO14" s="375"/>
      <c r="BYT14" s="659"/>
      <c r="BYU14" s="659"/>
      <c r="BYV14" s="659"/>
      <c r="BYW14" s="659"/>
      <c r="BYX14" s="659"/>
      <c r="BYY14" s="659"/>
      <c r="BYZ14" s="659"/>
      <c r="BZA14" s="659"/>
      <c r="BZB14" s="659"/>
      <c r="BZC14" s="659"/>
      <c r="BZD14" s="659"/>
      <c r="BZE14" s="659"/>
      <c r="BZF14" s="659"/>
      <c r="BZG14" s="659"/>
      <c r="BZH14" s="659"/>
      <c r="BZI14" s="659"/>
      <c r="BZJ14" s="659"/>
      <c r="BZK14" s="659"/>
      <c r="BZL14" s="659"/>
      <c r="BZM14" s="659"/>
      <c r="BZN14" s="659"/>
      <c r="BZO14" s="659"/>
      <c r="BZP14" s="659"/>
      <c r="BZQ14" s="659"/>
      <c r="BZR14" s="659"/>
      <c r="BZS14" s="659"/>
      <c r="BZT14" s="659"/>
      <c r="BZU14" s="659"/>
      <c r="BZV14" s="659"/>
      <c r="BZW14" s="659"/>
      <c r="BZX14" s="659"/>
      <c r="BZY14" s="659"/>
      <c r="BZZ14" s="376"/>
      <c r="CAA14" s="377"/>
      <c r="CAB14" s="377"/>
      <c r="CAC14" s="378"/>
    </row>
    <row r="15" spans="1:67 2022:2057" ht="14.4" hidden="1" customHeight="1" x14ac:dyDescent="0.3">
      <c r="I15" s="1"/>
      <c r="N15" s="545" t="s">
        <v>27</v>
      </c>
      <c r="V15" s="5"/>
      <c r="W15" t="s">
        <v>28</v>
      </c>
      <c r="AE15" s="111">
        <f t="shared" ref="AE15:AK15" si="0">BZK64</f>
        <v>0</v>
      </c>
      <c r="AF15" s="111">
        <f t="shared" si="0"/>
        <v>1</v>
      </c>
      <c r="AG15" s="111">
        <f t="shared" si="0"/>
        <v>0</v>
      </c>
      <c r="AH15" s="111">
        <f t="shared" si="0"/>
        <v>0</v>
      </c>
      <c r="AI15" s="111">
        <f t="shared" si="0"/>
        <v>0</v>
      </c>
      <c r="AJ15" s="111">
        <f t="shared" si="0"/>
        <v>0</v>
      </c>
      <c r="AK15" s="111">
        <f t="shared" si="0"/>
        <v>0</v>
      </c>
      <c r="BYT15" s="299"/>
      <c r="BYU15" s="299"/>
      <c r="BYV15" s="299"/>
      <c r="BYW15" s="299"/>
      <c r="BYX15" s="299"/>
      <c r="BYY15" s="299">
        <f>BZK64</f>
        <v>0</v>
      </c>
      <c r="BYZ15" s="299">
        <f>BYY15</f>
        <v>0</v>
      </c>
      <c r="BZA15" s="299"/>
      <c r="BZB15" s="299"/>
      <c r="BZC15" s="299">
        <f>BZL64</f>
        <v>1</v>
      </c>
      <c r="BZD15" s="299">
        <f>BZC15</f>
        <v>1</v>
      </c>
      <c r="BZE15" s="299"/>
      <c r="BZF15" s="299"/>
      <c r="BZG15" s="299">
        <f>BZM64</f>
        <v>0</v>
      </c>
      <c r="BZH15" s="299">
        <f>BZG15</f>
        <v>0</v>
      </c>
      <c r="BZI15" s="299"/>
      <c r="BZJ15" s="299"/>
      <c r="BZK15" s="299">
        <f>BZN64</f>
        <v>0</v>
      </c>
      <c r="BZL15" s="299">
        <f>BZK15</f>
        <v>0</v>
      </c>
      <c r="BZM15" s="299"/>
      <c r="BZN15" s="299"/>
      <c r="BZO15" s="299">
        <f>BZO64</f>
        <v>0</v>
      </c>
      <c r="BZP15" s="299">
        <f>BZO15</f>
        <v>0</v>
      </c>
      <c r="BZQ15" s="299"/>
      <c r="BZR15" s="299"/>
      <c r="BZS15" s="299">
        <f>BZP64</f>
        <v>0</v>
      </c>
      <c r="BZT15" s="299">
        <f>BZS15</f>
        <v>0</v>
      </c>
      <c r="BZU15" s="299"/>
      <c r="BZV15" s="299"/>
      <c r="BZW15" s="299">
        <f>BZQ64</f>
        <v>0</v>
      </c>
      <c r="BZX15" s="299">
        <f>BZW15</f>
        <v>0</v>
      </c>
      <c r="BZY15" s="299"/>
      <c r="BZZ15" s="280"/>
      <c r="CAA15" s="281"/>
      <c r="CAB15" s="281"/>
      <c r="CAC15" s="282"/>
    </row>
    <row r="16" spans="1:67 2022:2057" ht="14.4" hidden="1" customHeight="1" x14ac:dyDescent="0.3">
      <c r="A16" s="17" t="s">
        <v>29</v>
      </c>
      <c r="B16" s="12" t="s">
        <v>30</v>
      </c>
      <c r="C16" s="12" t="s">
        <v>31</v>
      </c>
      <c r="D16" s="12" t="s">
        <v>32</v>
      </c>
      <c r="E16" s="12" t="s">
        <v>33</v>
      </c>
      <c r="F16" s="12" t="s">
        <v>34</v>
      </c>
      <c r="G16" s="12" t="s">
        <v>35</v>
      </c>
      <c r="H16" s="12"/>
      <c r="I16" s="12"/>
      <c r="J16" s="12"/>
      <c r="K16" s="4"/>
      <c r="L16" s="4"/>
      <c r="M16" s="4"/>
      <c r="N16" s="545" t="s">
        <v>36</v>
      </c>
      <c r="V16" s="5"/>
      <c r="W16" s="3" t="s">
        <v>29</v>
      </c>
      <c r="X16" s="4" t="s">
        <v>30</v>
      </c>
      <c r="Y16" s="4" t="s">
        <v>31</v>
      </c>
      <c r="Z16" s="4" t="s">
        <v>32</v>
      </c>
      <c r="AA16" s="4" t="s">
        <v>33</v>
      </c>
      <c r="AB16" s="4" t="s">
        <v>34</v>
      </c>
      <c r="AC16" s="4" t="s">
        <v>35</v>
      </c>
      <c r="AD16" s="4" t="s">
        <v>37</v>
      </c>
      <c r="AE16" s="79" t="s">
        <v>38</v>
      </c>
      <c r="AF16" s="2" t="s">
        <v>31</v>
      </c>
      <c r="AG16" s="2" t="s">
        <v>32</v>
      </c>
      <c r="AH16" s="2" t="s">
        <v>33</v>
      </c>
      <c r="AI16" s="2" t="s">
        <v>34</v>
      </c>
      <c r="AJ16" s="2" t="s">
        <v>35</v>
      </c>
      <c r="AK16" s="2" t="s">
        <v>39</v>
      </c>
      <c r="BYT16" s="299"/>
      <c r="BYU16" s="299"/>
      <c r="BYV16" s="299"/>
      <c r="BYW16" s="299"/>
      <c r="BYX16" s="299"/>
      <c r="BYY16" s="299"/>
      <c r="BYZ16" s="299"/>
      <c r="BZA16" s="299"/>
      <c r="BZB16" s="299"/>
      <c r="BZC16" s="299"/>
      <c r="BZD16" s="299"/>
      <c r="BZE16" s="299"/>
      <c r="BZF16" s="299"/>
      <c r="BZG16" s="299"/>
      <c r="BZH16" s="299"/>
      <c r="BZI16" s="299"/>
      <c r="BZJ16" s="299"/>
      <c r="BZK16" s="299"/>
      <c r="BZL16" s="299"/>
      <c r="BZM16" s="299"/>
      <c r="BZN16" s="299"/>
      <c r="BZO16" s="299"/>
      <c r="BZP16" s="299"/>
      <c r="BZQ16" s="299"/>
      <c r="BZR16" s="299"/>
      <c r="BZS16" s="299"/>
      <c r="BZT16" s="299"/>
      <c r="BZU16" s="299"/>
      <c r="BZV16" s="299"/>
      <c r="BZW16" s="299"/>
      <c r="BZX16" s="299"/>
      <c r="BZY16" s="299"/>
      <c r="BZZ16" s="280"/>
      <c r="CAA16" s="281"/>
      <c r="CAB16" s="281"/>
      <c r="CAC16" s="282"/>
    </row>
    <row r="17" spans="1:47 2022:2057" ht="14.4" hidden="1" customHeight="1" x14ac:dyDescent="0.3">
      <c r="A17" s="17"/>
      <c r="B17" s="12"/>
      <c r="C17" s="12"/>
      <c r="D17" s="12"/>
      <c r="E17" s="12"/>
      <c r="F17" s="12"/>
      <c r="G17" s="12"/>
      <c r="H17" s="12"/>
      <c r="I17" s="12"/>
      <c r="J17" s="12"/>
      <c r="K17" s="4"/>
      <c r="L17" s="4"/>
      <c r="M17" s="4"/>
      <c r="N17" s="545" t="s">
        <v>314</v>
      </c>
      <c r="V17" s="5"/>
      <c r="W17" s="3"/>
      <c r="X17" s="4"/>
      <c r="Y17" s="4"/>
      <c r="Z17" s="4"/>
      <c r="AA17" s="4"/>
      <c r="AB17" s="4"/>
      <c r="AC17" s="4"/>
      <c r="AD17" s="4"/>
      <c r="AE17" s="79"/>
      <c r="AF17" s="2"/>
      <c r="AG17" s="2"/>
      <c r="AH17" s="2"/>
      <c r="AI17" s="2"/>
      <c r="AJ17" s="2"/>
      <c r="AK17" s="2"/>
      <c r="BYT17" s="299"/>
      <c r="BYU17" s="299"/>
      <c r="BYV17" s="299"/>
      <c r="BYW17" s="299"/>
      <c r="BYX17" s="299"/>
      <c r="BYY17" s="299"/>
      <c r="BYZ17" s="299"/>
      <c r="BZA17" s="299"/>
      <c r="BZB17" s="299"/>
      <c r="BZC17" s="299"/>
      <c r="BZD17" s="299"/>
      <c r="BZE17" s="299"/>
      <c r="BZF17" s="299"/>
      <c r="BZG17" s="299"/>
      <c r="BZH17" s="299"/>
      <c r="BZI17" s="299"/>
      <c r="BZJ17" s="299"/>
      <c r="BZK17" s="299"/>
      <c r="BZL17" s="299"/>
      <c r="BZM17" s="299"/>
      <c r="BZN17" s="299"/>
      <c r="BZO17" s="299"/>
      <c r="BZP17" s="299"/>
      <c r="BZQ17" s="299"/>
      <c r="BZR17" s="299"/>
      <c r="BZS17" s="299"/>
      <c r="BZT17" s="299"/>
      <c r="BZU17" s="299"/>
      <c r="BZV17" s="299"/>
      <c r="BZW17" s="299"/>
      <c r="BZX17" s="299"/>
      <c r="BZY17" s="299"/>
      <c r="BZZ17" s="280"/>
      <c r="CAA17" s="281"/>
      <c r="CAB17" s="281"/>
      <c r="CAC17" s="282"/>
    </row>
    <row r="18" spans="1:47 2022:2057" ht="14.4" hidden="1" customHeight="1" x14ac:dyDescent="0.3">
      <c r="A18" s="17"/>
      <c r="B18" s="12"/>
      <c r="C18" s="12"/>
      <c r="D18" s="12"/>
      <c r="E18" s="12"/>
      <c r="F18" s="12"/>
      <c r="G18" s="12"/>
      <c r="H18" s="12"/>
      <c r="I18" s="12"/>
      <c r="J18" s="12"/>
      <c r="K18" s="4"/>
      <c r="L18" s="4"/>
      <c r="M18" s="4"/>
      <c r="N18" s="546" t="s">
        <v>40</v>
      </c>
      <c r="V18" s="5"/>
      <c r="W18" s="3"/>
      <c r="X18" s="4"/>
      <c r="Y18" s="4"/>
      <c r="Z18" s="4"/>
      <c r="AA18" s="4"/>
      <c r="AB18" s="4"/>
      <c r="AC18" s="4"/>
      <c r="AD18" s="4"/>
      <c r="AE18" s="79"/>
      <c r="AF18" s="2"/>
      <c r="AG18" s="2"/>
      <c r="AH18" s="2"/>
      <c r="AI18" s="2"/>
      <c r="AJ18" s="2"/>
      <c r="AK18" s="2"/>
      <c r="BYT18" s="299"/>
      <c r="BYU18" s="299"/>
      <c r="BYV18" s="299"/>
      <c r="BYW18" s="299"/>
      <c r="BYX18" s="299"/>
      <c r="BYY18" s="299"/>
      <c r="BYZ18" s="299"/>
      <c r="BZA18" s="299"/>
      <c r="BZB18" s="299"/>
      <c r="BZC18" s="299"/>
      <c r="BZD18" s="299"/>
      <c r="BZE18" s="299"/>
      <c r="BZF18" s="299"/>
      <c r="BZG18" s="299"/>
      <c r="BZH18" s="299"/>
      <c r="BZI18" s="299"/>
      <c r="BZJ18" s="299"/>
      <c r="BZK18" s="299"/>
      <c r="BZL18" s="299"/>
      <c r="BZM18" s="299"/>
      <c r="BZN18" s="299"/>
      <c r="BZO18" s="299"/>
      <c r="BZP18" s="299"/>
      <c r="BZQ18" s="299"/>
      <c r="BZR18" s="299"/>
      <c r="BZS18" s="299"/>
      <c r="BZT18" s="299"/>
      <c r="BZU18" s="299"/>
      <c r="BZV18" s="299"/>
      <c r="BZW18" s="299"/>
      <c r="BZX18" s="299"/>
      <c r="BZY18" s="299"/>
      <c r="BZZ18" s="280"/>
      <c r="CAA18" s="281"/>
      <c r="CAB18" s="281"/>
      <c r="CAC18" s="282"/>
    </row>
    <row r="19" spans="1:47 2022:2057" ht="14.4" hidden="1" customHeight="1" x14ac:dyDescent="0.35">
      <c r="A19" s="17"/>
      <c r="B19" s="12"/>
      <c r="C19" s="12"/>
      <c r="D19" s="12"/>
      <c r="E19" s="12"/>
      <c r="F19" s="12"/>
      <c r="G19" s="12"/>
      <c r="H19" s="12"/>
      <c r="I19" s="12"/>
      <c r="J19" s="235" t="e">
        <f>BZJ53</f>
        <v>#N/A</v>
      </c>
      <c r="K19" s="4"/>
      <c r="L19" s="4"/>
      <c r="M19" s="4"/>
      <c r="N19" s="545" t="s">
        <v>41</v>
      </c>
      <c r="V19" s="5"/>
      <c r="W19" s="3"/>
      <c r="X19" s="4"/>
      <c r="Y19" s="4"/>
      <c r="Z19" s="4"/>
      <c r="AA19" s="4"/>
      <c r="AB19" s="4"/>
      <c r="AC19" s="4"/>
      <c r="AD19" s="4"/>
      <c r="AE19" s="79"/>
      <c r="AF19" s="2"/>
      <c r="AG19" s="2"/>
      <c r="AH19" s="2"/>
      <c r="AI19" s="2"/>
      <c r="AJ19" s="2"/>
      <c r="AK19" s="2"/>
      <c r="AN19" s="17">
        <v>0</v>
      </c>
      <c r="AO19" s="1"/>
      <c r="AP19" s="619">
        <v>100</v>
      </c>
      <c r="BYT19" s="299"/>
      <c r="BYU19" s="299"/>
      <c r="BYV19" s="299"/>
      <c r="BYW19" s="299"/>
      <c r="BYX19" s="299"/>
      <c r="BYY19" s="299"/>
      <c r="BYZ19" s="299"/>
      <c r="BZA19" s="299"/>
      <c r="BZB19" s="299"/>
      <c r="BZC19" s="299"/>
      <c r="BZD19" s="299"/>
      <c r="BZE19" s="299"/>
      <c r="BZF19" s="299"/>
      <c r="BZG19" s="299"/>
      <c r="BZH19" s="299"/>
      <c r="BZI19" s="299"/>
      <c r="BZJ19" s="299"/>
      <c r="BZK19" s="299"/>
      <c r="BZL19" s="299"/>
      <c r="BZM19" s="299"/>
      <c r="BZN19" s="299"/>
      <c r="BZO19" s="299"/>
      <c r="BZP19" s="299"/>
      <c r="BZQ19" s="299"/>
      <c r="BZR19" s="299"/>
      <c r="BZS19" s="299"/>
      <c r="BZT19" s="299"/>
      <c r="BZU19" s="299"/>
      <c r="BZV19" s="299"/>
      <c r="BZW19" s="299"/>
      <c r="BZX19" s="299"/>
      <c r="BZY19" s="299"/>
      <c r="BZZ19" s="280"/>
      <c r="CAA19" s="281"/>
      <c r="CAB19" s="281"/>
      <c r="CAC19" s="282"/>
    </row>
    <row r="20" spans="1:47 2022:2057" hidden="1" x14ac:dyDescent="0.3">
      <c r="A20" s="298"/>
      <c r="B20" s="299"/>
      <c r="C20" s="299"/>
      <c r="D20" s="299"/>
      <c r="E20" s="299"/>
      <c r="F20" s="299"/>
      <c r="G20" s="299"/>
      <c r="H20" s="299"/>
      <c r="I20" s="299"/>
      <c r="J20" s="232" t="str">
        <f>'print Basis'!$G$10&amp;" "&amp;'print Basis'!G8</f>
        <v>invoer Basis Projectnaam</v>
      </c>
      <c r="K20" s="4"/>
      <c r="L20" s="4"/>
      <c r="M20" s="4"/>
      <c r="N20" s="547" t="s">
        <v>42</v>
      </c>
      <c r="V20" s="5"/>
      <c r="W20" s="3"/>
      <c r="X20" s="110">
        <f t="shared" ref="X20:AD20" si="1">BZK64</f>
        <v>0</v>
      </c>
      <c r="Y20" s="110">
        <f t="shared" si="1"/>
        <v>1</v>
      </c>
      <c r="Z20" s="110">
        <f t="shared" si="1"/>
        <v>0</v>
      </c>
      <c r="AA20" s="110">
        <f t="shared" si="1"/>
        <v>0</v>
      </c>
      <c r="AB20" s="110">
        <f t="shared" si="1"/>
        <v>0</v>
      </c>
      <c r="AC20" s="110">
        <f t="shared" si="1"/>
        <v>0</v>
      </c>
      <c r="AD20" s="110">
        <f t="shared" si="1"/>
        <v>0</v>
      </c>
      <c r="AE20" s="79" t="s">
        <v>43</v>
      </c>
      <c r="AF20" s="2"/>
      <c r="AG20" s="2"/>
      <c r="AH20" s="2"/>
      <c r="AI20" s="2"/>
      <c r="AJ20" s="2"/>
      <c r="BYT20" s="299"/>
      <c r="BYU20" s="299"/>
      <c r="BYV20" s="299"/>
      <c r="BYW20" s="299"/>
      <c r="BYX20" s="299"/>
      <c r="BYY20" s="299"/>
      <c r="BYZ20" s="299"/>
      <c r="BZA20" s="299"/>
      <c r="BZB20" s="299"/>
      <c r="BZC20" s="299"/>
      <c r="BZD20" s="299"/>
      <c r="BZE20" s="299"/>
      <c r="BZF20" s="299"/>
      <c r="BZG20" s="299"/>
      <c r="BZH20" s="299"/>
      <c r="BZI20" s="299"/>
      <c r="BZJ20" s="299"/>
      <c r="BZK20" s="299"/>
      <c r="BZL20" s="299"/>
      <c r="BZM20" s="299"/>
      <c r="BZN20" s="299"/>
      <c r="BZO20" s="299"/>
      <c r="BZP20" s="299"/>
      <c r="BZQ20" s="299"/>
      <c r="BZR20" s="299"/>
      <c r="BZS20" s="299"/>
      <c r="BZT20" s="299"/>
      <c r="BZU20" s="299"/>
      <c r="BZV20" s="299"/>
      <c r="BZW20" s="299"/>
      <c r="BZX20" s="299"/>
      <c r="BZY20" s="299"/>
      <c r="BZZ20" s="280"/>
      <c r="CAA20" s="281"/>
      <c r="CAB20" s="281"/>
      <c r="CAC20" s="282"/>
    </row>
    <row r="21" spans="1:47 2022:2057" ht="25.8" x14ac:dyDescent="0.5">
      <c r="A21" s="299"/>
      <c r="B21" s="300">
        <f>SUM(B41,B38,B36,B34,B31,B27,B25,B23)</f>
        <v>1</v>
      </c>
      <c r="C21" s="300">
        <f t="shared" ref="C21:G21" si="2">SUM(C41,C38,C36,C34,C31,C27,C25,C23)</f>
        <v>1</v>
      </c>
      <c r="D21" s="300">
        <f t="shared" si="2"/>
        <v>1</v>
      </c>
      <c r="E21" s="300">
        <f t="shared" si="2"/>
        <v>1</v>
      </c>
      <c r="F21" s="300">
        <f t="shared" si="2"/>
        <v>1</v>
      </c>
      <c r="G21" s="300">
        <f t="shared" si="2"/>
        <v>1</v>
      </c>
      <c r="H21" s="300"/>
      <c r="I21" s="300"/>
      <c r="J21" s="13"/>
      <c r="K21" s="564"/>
      <c r="L21" s="565" t="str">
        <f>'print Basis'!G8</f>
        <v>Projectnaam</v>
      </c>
      <c r="M21" s="565"/>
      <c r="N21" s="566" t="str">
        <f>"Gerealiseerd circulair doel per ontwerpprincipe in de " &amp; N8</f>
        <v>Gerealiseerd circulair doel per ontwerpprincipe in de verkenningsfase</v>
      </c>
      <c r="O21" s="567"/>
      <c r="P21" s="567"/>
      <c r="Q21" s="567"/>
      <c r="R21" s="567"/>
      <c r="S21" s="567"/>
      <c r="T21" s="567"/>
      <c r="U21" s="567"/>
      <c r="V21" s="568"/>
      <c r="W21" s="569"/>
      <c r="X21" s="570">
        <f>SUM(X41,X38,X36,X34,X31,X27,X25,X23)</f>
        <v>1</v>
      </c>
      <c r="Y21" s="570">
        <f t="shared" ref="Y21:AD21" si="3">SUM(Y41,Y38,Y36,Y34,Y31,Y27,Y25,Y23)</f>
        <v>1.0000000000000002</v>
      </c>
      <c r="Z21" s="570">
        <f t="shared" si="3"/>
        <v>1</v>
      </c>
      <c r="AA21" s="570">
        <f t="shared" si="3"/>
        <v>1</v>
      </c>
      <c r="AB21" s="570">
        <f t="shared" si="3"/>
        <v>1.0000000000000002</v>
      </c>
      <c r="AC21" s="570">
        <f t="shared" si="3"/>
        <v>1</v>
      </c>
      <c r="AD21" s="570">
        <f t="shared" si="3"/>
        <v>1</v>
      </c>
      <c r="AE21" s="571">
        <v>100</v>
      </c>
      <c r="AF21" s="572"/>
      <c r="AG21" s="572"/>
      <c r="AH21" s="572"/>
      <c r="AI21" s="572"/>
      <c r="AJ21" s="572"/>
      <c r="AK21" s="572"/>
      <c r="AL21" s="573" t="str">
        <f>'print A1'!G10</f>
        <v>A1</v>
      </c>
      <c r="AM21" s="567"/>
      <c r="AN21" s="574" t="s">
        <v>44</v>
      </c>
      <c r="AO21" s="645" t="e">
        <f>1-AP21</f>
        <v>#VALUE!</v>
      </c>
      <c r="AP21" s="775" t="str">
        <f>IF(M22=12,SUM(AP23:AP42)+AP44,"-")</f>
        <v>-</v>
      </c>
      <c r="AR21" s="646" t="s">
        <v>318</v>
      </c>
      <c r="BYT21" s="299"/>
      <c r="BYU21" s="299"/>
      <c r="BYV21" s="299"/>
      <c r="BYW21" s="299"/>
      <c r="BYX21" s="299"/>
      <c r="BYY21" s="299"/>
      <c r="BYZ21" s="299"/>
      <c r="BZA21" s="299"/>
      <c r="BZB21" s="299"/>
      <c r="BZC21" s="299"/>
      <c r="BZD21" s="299"/>
      <c r="BZE21" s="299"/>
      <c r="BZF21" s="299"/>
      <c r="BZG21" s="299"/>
      <c r="BZH21" s="299"/>
      <c r="BZI21" s="299"/>
      <c r="BZJ21" s="299"/>
      <c r="BZK21" s="299"/>
      <c r="BZL21" s="299"/>
      <c r="BZM21" s="299"/>
      <c r="BZN21" s="299"/>
      <c r="BZO21" s="299"/>
      <c r="BZP21" s="299"/>
      <c r="BZQ21" s="299"/>
      <c r="BZR21" s="299"/>
      <c r="BZS21" s="299"/>
      <c r="BZT21" s="299"/>
      <c r="BZU21" s="299"/>
      <c r="BZV21" s="299"/>
      <c r="BZW21" s="299"/>
      <c r="BZX21" s="299"/>
      <c r="BZY21" s="299"/>
      <c r="BZZ21" s="280"/>
      <c r="CAA21" s="281"/>
      <c r="CAB21" s="281"/>
      <c r="CAC21" s="282"/>
    </row>
    <row r="22" spans="1:47 2022:2057" ht="49.2" customHeight="1" x14ac:dyDescent="0.55000000000000004">
      <c r="A22" s="12"/>
      <c r="B22" s="14">
        <f>(1/8)*SUM(B24,B26,B28,B29,B30,B32,B33,B35,B37,B39,B40,B42)</f>
        <v>1</v>
      </c>
      <c r="C22" s="14">
        <f t="shared" ref="C22:G22" si="4">(1/8)*SUM(C24,C26,C28,C29,C30,C32,C33,C35,C37,C39,C40,C42)</f>
        <v>1</v>
      </c>
      <c r="D22" s="14">
        <f t="shared" si="4"/>
        <v>1</v>
      </c>
      <c r="E22" s="14">
        <f t="shared" si="4"/>
        <v>1</v>
      </c>
      <c r="F22" s="14">
        <f t="shared" si="4"/>
        <v>1</v>
      </c>
      <c r="G22" s="14">
        <f t="shared" si="4"/>
        <v>1</v>
      </c>
      <c r="H22" s="14"/>
      <c r="I22" s="14"/>
      <c r="J22" s="14"/>
      <c r="K22" s="575"/>
      <c r="L22" s="576" t="s">
        <v>45</v>
      </c>
      <c r="M22" s="748">
        <f>COUNTA(N24,N26,N28,N29,N30,N32,N33,N35,N37,N39,N40,N42)</f>
        <v>0</v>
      </c>
      <c r="N22" s="577"/>
      <c r="O22" s="167"/>
      <c r="P22" s="167"/>
      <c r="Q22" s="167"/>
      <c r="R22" s="167"/>
      <c r="S22" s="167"/>
      <c r="T22" s="167"/>
      <c r="U22" s="167"/>
      <c r="V22" s="578"/>
      <c r="W22" s="579"/>
      <c r="X22" s="580">
        <f>(1/8)*SUM(X24,X26,X28,X29,X30,X32,X33,X35,X37,X39,X40,X42)</f>
        <v>1</v>
      </c>
      <c r="Y22" s="580">
        <f t="shared" ref="Y22:AD22" si="5">(1/8)*SUM(Y24,Y26,Y28,Y29,Y30,Y32,Y33,Y35,Y37,Y39,Y40,Y42)</f>
        <v>1</v>
      </c>
      <c r="Z22" s="580">
        <f t="shared" si="5"/>
        <v>1</v>
      </c>
      <c r="AA22" s="580">
        <f t="shared" si="5"/>
        <v>1</v>
      </c>
      <c r="AB22" s="580">
        <f t="shared" si="5"/>
        <v>1</v>
      </c>
      <c r="AC22" s="580">
        <f t="shared" si="5"/>
        <v>1</v>
      </c>
      <c r="AD22" s="580">
        <f t="shared" si="5"/>
        <v>1</v>
      </c>
      <c r="AE22" s="581">
        <v>0</v>
      </c>
      <c r="AF22" s="582">
        <v>25</v>
      </c>
      <c r="AG22" s="582">
        <v>50</v>
      </c>
      <c r="AH22" s="582">
        <v>75</v>
      </c>
      <c r="AI22" s="582">
        <v>100</v>
      </c>
      <c r="AJ22" s="583"/>
      <c r="AK22" s="583"/>
      <c r="AL22" s="584" t="s">
        <v>46</v>
      </c>
      <c r="AM22" s="167"/>
      <c r="AN22" s="585" t="s">
        <v>47</v>
      </c>
      <c r="AO22" s="167"/>
      <c r="AP22" s="620" t="s">
        <v>48</v>
      </c>
      <c r="BYT22" s="299"/>
      <c r="BYU22" s="299"/>
      <c r="BYV22" s="299"/>
      <c r="BYW22" s="299"/>
      <c r="BYX22" s="299"/>
      <c r="BYY22" s="299"/>
      <c r="BYZ22" s="299"/>
      <c r="BZA22" s="299"/>
      <c r="BZB22" s="299"/>
      <c r="BZC22" s="299"/>
      <c r="BZD22" s="299"/>
      <c r="BZE22" s="299"/>
      <c r="BZF22" s="299"/>
      <c r="BZG22" s="299"/>
      <c r="BZH22" s="299"/>
      <c r="BZI22" s="299"/>
      <c r="BZJ22" s="299"/>
      <c r="BZK22" s="299"/>
      <c r="BZL22" s="299"/>
      <c r="BZM22" s="299"/>
      <c r="BZN22" s="299"/>
      <c r="BZO22" s="299"/>
      <c r="BZP22" s="299"/>
      <c r="BZQ22" s="299"/>
      <c r="BZR22" s="299"/>
      <c r="BZS22" s="299"/>
      <c r="BZT22" s="299"/>
      <c r="BZU22" s="299"/>
      <c r="BZV22" s="299"/>
      <c r="BZW22" s="299"/>
      <c r="BZX22" s="299"/>
      <c r="BZY22" s="299"/>
      <c r="BZZ22" s="280"/>
      <c r="CAA22" s="281"/>
      <c r="CAB22" s="281" t="e">
        <f>BZJ53</f>
        <v>#N/A</v>
      </c>
      <c r="CAC22" s="282"/>
    </row>
    <row r="23" spans="1:47 2022:2057" ht="21" customHeight="1" x14ac:dyDescent="0.4">
      <c r="A23" s="12"/>
      <c r="B23" s="15">
        <v>0.2</v>
      </c>
      <c r="C23" s="15">
        <v>0.15</v>
      </c>
      <c r="D23" s="15">
        <v>0.15</v>
      </c>
      <c r="E23" s="15">
        <v>0.15</v>
      </c>
      <c r="F23" s="15">
        <v>0.05</v>
      </c>
      <c r="G23" s="15">
        <v>0.01</v>
      </c>
      <c r="H23" s="15"/>
      <c r="I23" s="15"/>
      <c r="J23" s="15"/>
      <c r="K23" s="558">
        <v>1</v>
      </c>
      <c r="L23" s="559" t="s">
        <v>49</v>
      </c>
      <c r="M23" s="560"/>
      <c r="N23" s="561"/>
      <c r="O23" s="20"/>
      <c r="P23" s="20"/>
      <c r="Q23" s="20"/>
      <c r="R23" s="20"/>
      <c r="S23" s="20"/>
      <c r="T23" s="20"/>
      <c r="U23" s="20">
        <v>1</v>
      </c>
      <c r="V23" s="128"/>
      <c r="W23" s="7">
        <f t="shared" ref="W23:W42" si="6">X23*$X$20+Y23*$Y$20+Z23*$Z$20+AA23*$AA$20+AB23*$AB$20+AC23*$AC$20+AD23*$AD$20</f>
        <v>0.27</v>
      </c>
      <c r="X23" s="21">
        <f>'info weging'!B8</f>
        <v>0.3</v>
      </c>
      <c r="Y23" s="21">
        <f>'info weging'!C8</f>
        <v>0.27</v>
      </c>
      <c r="Z23" s="21">
        <f>'info weging'!D8</f>
        <v>0.15</v>
      </c>
      <c r="AA23" s="21">
        <f>'info weging'!E8</f>
        <v>0.15</v>
      </c>
      <c r="AB23" s="21">
        <f>'info weging'!F8</f>
        <v>0.05</v>
      </c>
      <c r="AC23" s="21">
        <f>'info weging'!G8</f>
        <v>0.01</v>
      </c>
      <c r="AD23" s="21">
        <f>'info weging'!H8</f>
        <v>0.125</v>
      </c>
      <c r="AE23" s="104"/>
      <c r="AF23" s="58"/>
      <c r="AG23" s="58"/>
      <c r="AH23" s="58"/>
      <c r="AI23" s="58"/>
      <c r="AJ23" s="59"/>
      <c r="AK23" s="59"/>
      <c r="AL23" s="562"/>
      <c r="AM23" s="20"/>
      <c r="AN23" s="201">
        <f>'print Basis'!P18</f>
        <v>0.27</v>
      </c>
      <c r="AO23" s="20"/>
      <c r="AP23" s="621" t="e">
        <f>AN23*(AL24*AN24)</f>
        <v>#VALUE!</v>
      </c>
      <c r="AQ23" s="37"/>
      <c r="AR23" s="358"/>
      <c r="BYT23" s="299"/>
      <c r="BYU23" s="299"/>
      <c r="BYV23" s="299"/>
      <c r="BYW23" s="299"/>
      <c r="BYX23" s="299" t="s">
        <v>50</v>
      </c>
      <c r="BYY23" s="299" t="e">
        <f>"berekening CP="&amp;N49</f>
        <v>#N/A</v>
      </c>
      <c r="BYZ23" s="299" t="s">
        <v>51</v>
      </c>
      <c r="BZA23" s="299"/>
      <c r="BZB23" s="299" t="s">
        <v>31</v>
      </c>
      <c r="BZC23" s="299" t="s">
        <v>52</v>
      </c>
      <c r="BZD23" s="299" t="s">
        <v>53</v>
      </c>
      <c r="BZE23" s="299"/>
      <c r="BZF23" s="299" t="s">
        <v>32</v>
      </c>
      <c r="BZG23" s="299" t="s">
        <v>52</v>
      </c>
      <c r="BZH23" s="299" t="s">
        <v>54</v>
      </c>
      <c r="BZI23" s="299"/>
      <c r="BZJ23" s="299" t="s">
        <v>33</v>
      </c>
      <c r="BZK23" s="299" t="s">
        <v>52</v>
      </c>
      <c r="BZL23" s="299" t="s">
        <v>55</v>
      </c>
      <c r="BZM23" s="299"/>
      <c r="BZN23" s="299" t="s">
        <v>34</v>
      </c>
      <c r="BZO23" s="299" t="s">
        <v>52</v>
      </c>
      <c r="BZP23" s="299" t="s">
        <v>56</v>
      </c>
      <c r="BZQ23" s="299"/>
      <c r="BZR23" s="299" t="s">
        <v>35</v>
      </c>
      <c r="BZS23" s="299" t="s">
        <v>52</v>
      </c>
      <c r="BZT23" s="299" t="s">
        <v>57</v>
      </c>
      <c r="BZU23" s="299"/>
      <c r="BZV23" s="299" t="str">
        <f>AK16</f>
        <v>eigen waarde</v>
      </c>
      <c r="BZW23" s="299" t="s">
        <v>52</v>
      </c>
      <c r="BZX23" s="299" t="s">
        <v>58</v>
      </c>
      <c r="BZY23" s="299"/>
      <c r="BZZ23" s="280"/>
      <c r="CAA23" s="281"/>
      <c r="CAB23" s="281" t="str">
        <f>N7</f>
        <v>A1</v>
      </c>
      <c r="CAC23" s="282" t="s">
        <v>59</v>
      </c>
    </row>
    <row r="24" spans="1:47 2022:2057" ht="88.2" customHeight="1" x14ac:dyDescent="0.4">
      <c r="A24" s="12"/>
      <c r="B24" s="16">
        <v>1</v>
      </c>
      <c r="C24" s="16">
        <v>1</v>
      </c>
      <c r="D24" s="16">
        <v>1</v>
      </c>
      <c r="E24" s="16">
        <v>1</v>
      </c>
      <c r="F24" s="16">
        <v>1</v>
      </c>
      <c r="G24" s="16">
        <v>1</v>
      </c>
      <c r="H24" s="16"/>
      <c r="I24" s="16"/>
      <c r="J24" s="16"/>
      <c r="K24" s="452" t="s">
        <v>60</v>
      </c>
      <c r="L24" s="549" t="s">
        <v>61</v>
      </c>
      <c r="M24" s="551" t="str">
        <f>IF(N24="","         klik hier op linkermuisknop + selecteer via het pull down menu het gerealiseerd circulaire doel","")</f>
        <v xml:space="preserve">         klik hier op linkermuisknop + selecteer via het pull down menu het gerealiseerd circulaire doel</v>
      </c>
      <c r="N24" s="210"/>
      <c r="O24" s="20"/>
      <c r="P24" s="20"/>
      <c r="Q24" s="20"/>
      <c r="R24" s="20"/>
      <c r="S24" s="20"/>
      <c r="T24" s="20"/>
      <c r="U24" s="20"/>
      <c r="V24" s="128"/>
      <c r="W24" s="7">
        <f t="shared" si="6"/>
        <v>1</v>
      </c>
      <c r="X24" s="24">
        <f>'info weging'!B9</f>
        <v>1</v>
      </c>
      <c r="Y24" s="24">
        <f>'info weging'!C9</f>
        <v>1</v>
      </c>
      <c r="Z24" s="24">
        <f>'info weging'!D9</f>
        <v>1</v>
      </c>
      <c r="AA24" s="24">
        <f>'info weging'!E9</f>
        <v>1</v>
      </c>
      <c r="AB24" s="24">
        <f>'info weging'!F9</f>
        <v>1</v>
      </c>
      <c r="AC24" s="25">
        <f>'info weging'!G9</f>
        <v>1</v>
      </c>
      <c r="AD24" s="25">
        <f>'info weging'!H9</f>
        <v>1</v>
      </c>
      <c r="AE24" s="97" t="e">
        <f>VLOOKUP(N24,'info weging'!$A$36:$H$163,2,FALSE)</f>
        <v>#N/A</v>
      </c>
      <c r="AF24" s="8" t="e">
        <f>VLOOKUP(N24,'info weging'!$A$36:$H$163,3,FALSE)</f>
        <v>#N/A</v>
      </c>
      <c r="AG24" s="8" t="e">
        <f>VLOOKUP(N24,'info weging'!$A$36:$H$163,4,FALSE)</f>
        <v>#N/A</v>
      </c>
      <c r="AH24" s="8" t="e">
        <f>VLOOKUP(N24,'info weging'!$A$36:$H$163,5,FALSE)</f>
        <v>#N/A</v>
      </c>
      <c r="AI24" s="8" t="e">
        <f>VLOOKUP(N24,'info weging'!$A$36:$H$163,6,FALSE)</f>
        <v>#N/A</v>
      </c>
      <c r="AJ24" s="9" t="e">
        <f>VLOOKUP(N24,'info weging'!$A$36:$H$163,7,FALSE)</f>
        <v>#N/A</v>
      </c>
      <c r="AK24" s="9" t="e">
        <f>VLOOKUP(N24,'info weging'!$A$36:$H$163,8,FALSE)</f>
        <v>#N/A</v>
      </c>
      <c r="AL24" s="260" t="str">
        <f>IF(COUNTA(N24)=1,AE24*$AE$15+AF24*$AF$15+AG24*$AG$15+AH24*$AH$15+AI24*$AI$15+AJ24*$AJ$15+AK24*$AK$15,"----")</f>
        <v>----</v>
      </c>
      <c r="AM24" s="128"/>
      <c r="AN24" s="127">
        <f>'print Basis'!P19</f>
        <v>1</v>
      </c>
      <c r="AO24" s="128"/>
      <c r="AP24" s="622"/>
      <c r="AQ24" s="835"/>
      <c r="AR24" s="778"/>
      <c r="AS24" s="20"/>
      <c r="AT24" s="20"/>
      <c r="AU24" s="20"/>
      <c r="BYT24" s="299"/>
      <c r="BYU24" s="299"/>
      <c r="BYV24" s="665" t="s">
        <v>63</v>
      </c>
      <c r="BYW24" s="661" t="s">
        <v>60</v>
      </c>
      <c r="BYX24" s="661" t="s">
        <v>64</v>
      </c>
      <c r="BYY24" s="666" t="e">
        <f>AE24*X23*X24</f>
        <v>#N/A</v>
      </c>
      <c r="BYZ24" s="666">
        <f>100*X24*X23</f>
        <v>30</v>
      </c>
      <c r="BZA24" s="660"/>
      <c r="BZB24" s="661" t="s">
        <v>64</v>
      </c>
      <c r="BZC24" s="666" t="e">
        <f>AF24*Y23*Y24</f>
        <v>#N/A</v>
      </c>
      <c r="BZD24" s="666">
        <f>100*Y24*Y23</f>
        <v>27</v>
      </c>
      <c r="BZE24" s="660"/>
      <c r="BZF24" s="661" t="s">
        <v>64</v>
      </c>
      <c r="BZG24" s="666" t="e">
        <f>AG24*Z23*Z24</f>
        <v>#N/A</v>
      </c>
      <c r="BZH24" s="666">
        <f>100*Z24*Z23</f>
        <v>15</v>
      </c>
      <c r="BZI24" s="660"/>
      <c r="BZJ24" s="661" t="s">
        <v>64</v>
      </c>
      <c r="BZK24" s="666" t="e">
        <f>AH24*AA23*AA24</f>
        <v>#N/A</v>
      </c>
      <c r="BZL24" s="666">
        <f>100*AA24*AA23</f>
        <v>15</v>
      </c>
      <c r="BZM24" s="660"/>
      <c r="BZN24" s="661" t="s">
        <v>64</v>
      </c>
      <c r="BZO24" s="666" t="e">
        <f>AI24*AB23*AB24</f>
        <v>#N/A</v>
      </c>
      <c r="BZP24" s="666">
        <f>100*G24*G23</f>
        <v>1</v>
      </c>
      <c r="BZQ24" s="660"/>
      <c r="BZR24" s="661" t="s">
        <v>64</v>
      </c>
      <c r="BZS24" s="661" t="e">
        <f>AJ24*AC23*AC24</f>
        <v>#N/A</v>
      </c>
      <c r="BZT24" s="661">
        <f>100*AC24*AC23</f>
        <v>1</v>
      </c>
      <c r="BZU24" s="299"/>
      <c r="BZV24" s="661" t="s">
        <v>64</v>
      </c>
      <c r="BZW24" s="661" t="e">
        <f>AK24*AD24*AD23</f>
        <v>#N/A</v>
      </c>
      <c r="BZX24" s="661">
        <f>100*AD24*AD23</f>
        <v>12.5</v>
      </c>
      <c r="BZY24" s="299"/>
      <c r="BZZ24" s="280"/>
      <c r="CAA24" s="281" t="str">
        <f>BZV24</f>
        <v>verklein opgave</v>
      </c>
      <c r="CAB24" s="283" t="e">
        <f t="shared" ref="CAB24:CAC35" si="7">BYY24*$BYY$15+BZC24*$BZC$15+BZG24*$BZG$15+BZK24*$BZK$15+BZO24*$BZO$15+BZS24*$BZS$15+BZW24*$BZW$15</f>
        <v>#N/A</v>
      </c>
      <c r="CAC24" s="284">
        <f t="shared" si="7"/>
        <v>27</v>
      </c>
    </row>
    <row r="25" spans="1:47 2022:2057" ht="21" customHeight="1" x14ac:dyDescent="0.4">
      <c r="A25" s="12"/>
      <c r="B25" s="15">
        <v>0.17</v>
      </c>
      <c r="C25" s="15">
        <v>0.15</v>
      </c>
      <c r="D25" s="15">
        <v>0.15</v>
      </c>
      <c r="E25" s="15">
        <v>0.12</v>
      </c>
      <c r="F25" s="15">
        <v>0.125</v>
      </c>
      <c r="G25" s="15">
        <v>0.2</v>
      </c>
      <c r="H25" s="15"/>
      <c r="I25" s="15"/>
      <c r="J25" s="15"/>
      <c r="K25" s="89">
        <v>2</v>
      </c>
      <c r="L25" s="95" t="s">
        <v>65</v>
      </c>
      <c r="M25" s="91"/>
      <c r="N25" s="238"/>
      <c r="O25" s="20"/>
      <c r="P25" s="20"/>
      <c r="Q25" s="20"/>
      <c r="R25" s="20"/>
      <c r="S25" s="20"/>
      <c r="T25" s="20"/>
      <c r="U25" s="20">
        <v>2</v>
      </c>
      <c r="V25" s="128"/>
      <c r="W25" s="7">
        <f t="shared" si="6"/>
        <v>7.0000000000000007E-2</v>
      </c>
      <c r="X25" s="22">
        <f>'info weging'!B10</f>
        <v>0.25</v>
      </c>
      <c r="Y25" s="22">
        <f>'info weging'!C10</f>
        <v>7.0000000000000007E-2</v>
      </c>
      <c r="Z25" s="22">
        <f>'info weging'!D10</f>
        <v>7.0000000000000007E-2</v>
      </c>
      <c r="AA25" s="22">
        <f>'info weging'!E10</f>
        <v>0.05</v>
      </c>
      <c r="AB25" s="22">
        <f>'info weging'!F10</f>
        <v>0.05</v>
      </c>
      <c r="AC25" s="23">
        <f>'info weging'!G10</f>
        <v>0.25</v>
      </c>
      <c r="AD25" s="23">
        <f>'info weging'!H10</f>
        <v>0.125</v>
      </c>
      <c r="AE25" s="90"/>
      <c r="AF25" s="60"/>
      <c r="AG25" s="60"/>
      <c r="AH25" s="60"/>
      <c r="AI25" s="60"/>
      <c r="AJ25" s="61"/>
      <c r="AK25" s="61"/>
      <c r="AL25" s="117"/>
      <c r="AM25" s="128"/>
      <c r="AN25" s="201">
        <f>'print Basis'!P20</f>
        <v>7.0000000000000007E-2</v>
      </c>
      <c r="AO25" s="128"/>
      <c r="AP25" s="621" t="e">
        <f>AN25*(AL26*AN26)</f>
        <v>#VALUE!</v>
      </c>
      <c r="AQ25" s="835"/>
      <c r="AR25" s="779"/>
      <c r="AS25" s="20"/>
      <c r="AT25" s="20"/>
      <c r="AU25" s="20"/>
      <c r="BYT25" s="299"/>
      <c r="BYU25" s="299"/>
      <c r="BYV25" s="665" t="s">
        <v>66</v>
      </c>
      <c r="BYW25" s="661" t="s">
        <v>60</v>
      </c>
      <c r="BYX25" s="661" t="s">
        <v>67</v>
      </c>
      <c r="BYY25" s="666" t="e">
        <f>AE26*X26*X25</f>
        <v>#N/A</v>
      </c>
      <c r="BYZ25" s="666">
        <f>100*X26*X25</f>
        <v>25</v>
      </c>
      <c r="BZA25" s="660"/>
      <c r="BZB25" s="661" t="s">
        <v>67</v>
      </c>
      <c r="BZC25" s="666" t="e">
        <f>AF26*Y26*Y25</f>
        <v>#N/A</v>
      </c>
      <c r="BZD25" s="666">
        <f>100*Y26*Y25</f>
        <v>7.0000000000000009</v>
      </c>
      <c r="BZE25" s="660"/>
      <c r="BZF25" s="661" t="s">
        <v>67</v>
      </c>
      <c r="BZG25" s="666" t="e">
        <f>AG26*Z26*Z25</f>
        <v>#N/A</v>
      </c>
      <c r="BZH25" s="666">
        <f>100*Z26*Z25</f>
        <v>7.0000000000000009</v>
      </c>
      <c r="BZI25" s="660"/>
      <c r="BZJ25" s="661" t="s">
        <v>67</v>
      </c>
      <c r="BZK25" s="666" t="e">
        <f>AH26*AA26*AA25</f>
        <v>#N/A</v>
      </c>
      <c r="BZL25" s="666">
        <f>100*AA26*AA25</f>
        <v>5</v>
      </c>
      <c r="BZM25" s="660"/>
      <c r="BZN25" s="661" t="s">
        <v>67</v>
      </c>
      <c r="BZO25" s="666" t="e">
        <f>AI26*AB26*AB25</f>
        <v>#N/A</v>
      </c>
      <c r="BZP25" s="666">
        <f>100*G26*G25</f>
        <v>20</v>
      </c>
      <c r="BZQ25" s="660"/>
      <c r="BZR25" s="661" t="s">
        <v>67</v>
      </c>
      <c r="BZS25" s="661" t="e">
        <f>AJ26*AC26*AC25</f>
        <v>#N/A</v>
      </c>
      <c r="BZT25" s="661">
        <f>100*AC26*AC25</f>
        <v>25</v>
      </c>
      <c r="BZU25" s="299"/>
      <c r="BZV25" s="661" t="s">
        <v>67</v>
      </c>
      <c r="BZW25" s="661" t="e">
        <f>AK26*AD26*AD25</f>
        <v>#N/A</v>
      </c>
      <c r="BZX25" s="661">
        <f>100*AD26*AD25</f>
        <v>12.5</v>
      </c>
      <c r="BZY25" s="299"/>
      <c r="BZZ25" s="280"/>
      <c r="CAA25" s="281" t="str">
        <f t="shared" ref="CAA25:CAA35" si="8">BZV25</f>
        <v>levensduurverlenging</v>
      </c>
      <c r="CAB25" s="283" t="e">
        <f t="shared" si="7"/>
        <v>#N/A</v>
      </c>
      <c r="CAC25" s="284">
        <f t="shared" si="7"/>
        <v>7.0000000000000009</v>
      </c>
    </row>
    <row r="26" spans="1:47 2022:2057" ht="47.4" customHeight="1" x14ac:dyDescent="0.4">
      <c r="A26" s="12"/>
      <c r="B26" s="16">
        <v>1</v>
      </c>
      <c r="C26" s="16">
        <v>1</v>
      </c>
      <c r="D26" s="16">
        <v>1</v>
      </c>
      <c r="E26" s="16">
        <v>1</v>
      </c>
      <c r="F26" s="16">
        <v>1</v>
      </c>
      <c r="G26" s="16">
        <v>1</v>
      </c>
      <c r="H26" s="16"/>
      <c r="I26" s="16"/>
      <c r="J26" s="16"/>
      <c r="K26" s="452" t="s">
        <v>60</v>
      </c>
      <c r="L26" s="549" t="s">
        <v>68</v>
      </c>
      <c r="M26" s="551" t="str">
        <f>IF(N26="","         klik hier op linkermuisknop + selecteer via het pull down menu het gerealiseerd circulaire doel","")</f>
        <v xml:space="preserve">         klik hier op linkermuisknop + selecteer via het pull down menu het gerealiseerd circulaire doel</v>
      </c>
      <c r="N26" s="210"/>
      <c r="O26" s="20"/>
      <c r="P26" s="20"/>
      <c r="Q26" s="20"/>
      <c r="R26" s="20"/>
      <c r="S26" s="20"/>
      <c r="T26" s="20"/>
      <c r="U26" s="20"/>
      <c r="V26" s="128"/>
      <c r="W26" s="7">
        <f t="shared" si="6"/>
        <v>1</v>
      </c>
      <c r="X26" s="26">
        <f>'info weging'!B11</f>
        <v>1</v>
      </c>
      <c r="Y26" s="26">
        <f>'info weging'!C11</f>
        <v>1</v>
      </c>
      <c r="Z26" s="26">
        <f>'info weging'!D11</f>
        <v>1</v>
      </c>
      <c r="AA26" s="26">
        <f>'info weging'!E11</f>
        <v>1</v>
      </c>
      <c r="AB26" s="26">
        <f>'info weging'!F11</f>
        <v>1</v>
      </c>
      <c r="AC26" s="27">
        <f>'info weging'!G11</f>
        <v>1</v>
      </c>
      <c r="AD26" s="27">
        <f>'info weging'!H11</f>
        <v>1</v>
      </c>
      <c r="AE26" s="96" t="e">
        <f>VLOOKUP(N26,'info weging'!$A$36:$H$163,2,FALSE)</f>
        <v>#N/A</v>
      </c>
      <c r="AF26" s="8" t="e">
        <f>VLOOKUP(N26,'info weging'!$A$36:$H$163,3,FALSE)</f>
        <v>#N/A</v>
      </c>
      <c r="AG26" s="8" t="e">
        <f>VLOOKUP(N26,'info weging'!$A$36:$H$163,4,FALSE)</f>
        <v>#N/A</v>
      </c>
      <c r="AH26" s="8" t="e">
        <f>VLOOKUP(N26,'info weging'!$A$36:$H$163,5,FALSE)</f>
        <v>#N/A</v>
      </c>
      <c r="AI26" s="8" t="e">
        <f>VLOOKUP(N26,'info weging'!$A$36:$H$163,6,FALSE)</f>
        <v>#N/A</v>
      </c>
      <c r="AJ26" s="9" t="e">
        <f>VLOOKUP(N26,'info weging'!$A$36:$H$163,7,FALSE)</f>
        <v>#N/A</v>
      </c>
      <c r="AK26" s="9" t="e">
        <f>VLOOKUP(N26,'info weging'!$A$36:$H$163,8,FALSE)</f>
        <v>#N/A</v>
      </c>
      <c r="AL26" s="260" t="str">
        <f>IF(COUNTA(N26)=1,AE26*$AE$15+AF26*$AF$15+AG26*$AG$15+AH26*$AH$15+AI26*$AI$15+AJ26*$AJ$15+AK26*$AK$15,"----")</f>
        <v>----</v>
      </c>
      <c r="AM26" s="128"/>
      <c r="AN26" s="127">
        <f>'print Basis'!P21</f>
        <v>1</v>
      </c>
      <c r="AO26" s="128"/>
      <c r="AP26" s="622"/>
      <c r="AQ26" s="835"/>
      <c r="AR26" s="778"/>
      <c r="AS26" s="20"/>
      <c r="AT26" s="20"/>
      <c r="AU26" s="20"/>
      <c r="BYT26" s="299"/>
      <c r="BYU26" s="299"/>
      <c r="BYV26" s="665" t="s">
        <v>70</v>
      </c>
      <c r="BYW26" s="661" t="s">
        <v>60</v>
      </c>
      <c r="BYX26" s="661" t="s">
        <v>71</v>
      </c>
      <c r="BYY26" s="666" t="e">
        <f>AE28*X28*X27</f>
        <v>#N/A</v>
      </c>
      <c r="BYZ26" s="666">
        <f>100*X28*X27</f>
        <v>7.8000000000000007</v>
      </c>
      <c r="BZA26" s="660"/>
      <c r="BZB26" s="661" t="s">
        <v>71</v>
      </c>
      <c r="BZC26" s="666" t="e">
        <f>AF28*Y28*Y27</f>
        <v>#N/A</v>
      </c>
      <c r="BZD26" s="666">
        <f>100*Y28*Y27</f>
        <v>2.8000000000000003</v>
      </c>
      <c r="BZE26" s="660"/>
      <c r="BZF26" s="661" t="s">
        <v>71</v>
      </c>
      <c r="BZG26" s="666" t="e">
        <f>AG28*Z28*Z27</f>
        <v>#N/A</v>
      </c>
      <c r="BZH26" s="666">
        <f>100*Z28*Z27</f>
        <v>6</v>
      </c>
      <c r="BZI26" s="660"/>
      <c r="BZJ26" s="661" t="s">
        <v>71</v>
      </c>
      <c r="BZK26" s="666" t="e">
        <f>AH28*AA28*AA27</f>
        <v>#N/A</v>
      </c>
      <c r="BZL26" s="666">
        <f>100*AA28*AA27</f>
        <v>6</v>
      </c>
      <c r="BZM26" s="660"/>
      <c r="BZN26" s="661" t="s">
        <v>71</v>
      </c>
      <c r="BZO26" s="666" t="e">
        <f>AI28*AB28*AB27</f>
        <v>#N/A</v>
      </c>
      <c r="BZP26" s="666">
        <f>100*G28*G27</f>
        <v>4</v>
      </c>
      <c r="BZQ26" s="660"/>
      <c r="BZR26" s="661" t="s">
        <v>71</v>
      </c>
      <c r="BZS26" s="661" t="e">
        <f>AJ28*AC28*AC27</f>
        <v>#N/A</v>
      </c>
      <c r="BZT26" s="661">
        <f>100*AC28*AC27</f>
        <v>4</v>
      </c>
      <c r="BZU26" s="299"/>
      <c r="BZV26" s="661" t="s">
        <v>71</v>
      </c>
      <c r="BZW26" s="661" t="e">
        <f>AK28*AD28*AD27</f>
        <v>#N/A</v>
      </c>
      <c r="BZX26" s="661">
        <f>100*AD28*AD27</f>
        <v>5</v>
      </c>
      <c r="BZY26" s="299"/>
      <c r="BZZ26" s="280"/>
      <c r="CAA26" s="281" t="str">
        <f t="shared" si="8"/>
        <v>hergebruik</v>
      </c>
      <c r="CAB26" s="283" t="e">
        <f t="shared" si="7"/>
        <v>#N/A</v>
      </c>
      <c r="CAC26" s="284">
        <f t="shared" si="7"/>
        <v>2.8000000000000003</v>
      </c>
    </row>
    <row r="27" spans="1:47 2022:2057" ht="21" customHeight="1" x14ac:dyDescent="0.4">
      <c r="A27" s="12"/>
      <c r="B27" s="15">
        <v>0.17</v>
      </c>
      <c r="C27" s="15">
        <v>0.15</v>
      </c>
      <c r="D27" s="15">
        <v>0.15</v>
      </c>
      <c r="E27" s="15">
        <v>0.2</v>
      </c>
      <c r="F27" s="15">
        <v>0.25</v>
      </c>
      <c r="G27" s="15">
        <v>0.2</v>
      </c>
      <c r="H27" s="15"/>
      <c r="I27" s="15"/>
      <c r="J27" s="15"/>
      <c r="K27" s="84">
        <v>3</v>
      </c>
      <c r="L27" s="56" t="s">
        <v>72</v>
      </c>
      <c r="M27" s="57"/>
      <c r="N27" s="239"/>
      <c r="O27" s="20"/>
      <c r="P27" s="20"/>
      <c r="Q27" s="20"/>
      <c r="R27" s="20"/>
      <c r="S27" s="20"/>
      <c r="T27" s="20"/>
      <c r="U27" s="20">
        <v>3</v>
      </c>
      <c r="V27" s="128"/>
      <c r="W27" s="7">
        <f t="shared" si="6"/>
        <v>7.0000000000000007E-2</v>
      </c>
      <c r="X27" s="22">
        <f>'info weging'!B12</f>
        <v>0.13</v>
      </c>
      <c r="Y27" s="22">
        <f>'info weging'!C12</f>
        <v>7.0000000000000007E-2</v>
      </c>
      <c r="Z27" s="22">
        <f>'info weging'!D12</f>
        <v>0.15</v>
      </c>
      <c r="AA27" s="22">
        <f>'info weging'!E12</f>
        <v>0.2</v>
      </c>
      <c r="AB27" s="22">
        <f>'info weging'!F12</f>
        <v>0.25</v>
      </c>
      <c r="AC27" s="23">
        <f>'info weging'!G12</f>
        <v>0.2</v>
      </c>
      <c r="AD27" s="23">
        <f>'info weging'!H12</f>
        <v>0.125</v>
      </c>
      <c r="AE27" s="74"/>
      <c r="AF27" s="72"/>
      <c r="AG27" s="72"/>
      <c r="AH27" s="72"/>
      <c r="AI27" s="72"/>
      <c r="AJ27" s="73"/>
      <c r="AK27" s="73"/>
      <c r="AL27" s="118"/>
      <c r="AM27" s="128"/>
      <c r="AN27" s="201">
        <f>'print Basis'!P22</f>
        <v>7.0000000000000007E-2</v>
      </c>
      <c r="AO27" s="128"/>
      <c r="AP27" s="621" t="e">
        <f>AN27*(AL28*AN28+AL29*AN29+AL30*AN30)</f>
        <v>#VALUE!</v>
      </c>
      <c r="AQ27" s="835"/>
      <c r="AR27" s="779"/>
      <c r="AS27" s="20"/>
      <c r="AT27" s="20"/>
      <c r="AU27" s="20"/>
      <c r="BYT27" s="299"/>
      <c r="BYU27" s="299"/>
      <c r="BYV27" s="665"/>
      <c r="BYW27" s="661" t="s">
        <v>73</v>
      </c>
      <c r="BYX27" s="661" t="s">
        <v>74</v>
      </c>
      <c r="BYY27" s="666" t="e">
        <f>AE29*X29*X27</f>
        <v>#N/A</v>
      </c>
      <c r="BYZ27" s="666">
        <f>100*X29*X27</f>
        <v>1.3</v>
      </c>
      <c r="BZA27" s="660"/>
      <c r="BZB27" s="661" t="s">
        <v>74</v>
      </c>
      <c r="BZC27" s="666" t="e">
        <f>AF29*Y29*Y27</f>
        <v>#N/A</v>
      </c>
      <c r="BZD27" s="666">
        <f>Y29*Y27*100</f>
        <v>2.8000000000000003</v>
      </c>
      <c r="BZE27" s="660"/>
      <c r="BZF27" s="661" t="s">
        <v>74</v>
      </c>
      <c r="BZG27" s="666" t="e">
        <f>AG29*Z29*Z27</f>
        <v>#N/A</v>
      </c>
      <c r="BZH27" s="666">
        <f>Z29*Z27*100</f>
        <v>6</v>
      </c>
      <c r="BZI27" s="660"/>
      <c r="BZJ27" s="661" t="s">
        <v>74</v>
      </c>
      <c r="BZK27" s="666" t="e">
        <f>AH29*AA29*AA27</f>
        <v>#N/A</v>
      </c>
      <c r="BZL27" s="666">
        <f>100*AA29*AA27</f>
        <v>12</v>
      </c>
      <c r="BZM27" s="660"/>
      <c r="BZN27" s="661" t="s">
        <v>74</v>
      </c>
      <c r="BZO27" s="666" t="e">
        <f>AI29*AB29*AB27</f>
        <v>#N/A</v>
      </c>
      <c r="BZP27" s="666">
        <f>G29*G27*100</f>
        <v>13.999999999999998</v>
      </c>
      <c r="BZQ27" s="660"/>
      <c r="BZR27" s="661" t="s">
        <v>74</v>
      </c>
      <c r="BZS27" s="661" t="e">
        <f>AJ29*AC29*AC27</f>
        <v>#N/A</v>
      </c>
      <c r="BZT27" s="661">
        <f>AC29*AC27*100</f>
        <v>13.999999999999998</v>
      </c>
      <c r="BZU27" s="299"/>
      <c r="BZV27" s="661" t="s">
        <v>74</v>
      </c>
      <c r="BZW27" s="661" t="e">
        <f>AK29*AD29*AD27</f>
        <v>#N/A</v>
      </c>
      <c r="BZX27" s="661">
        <f>100*AD29*AD27</f>
        <v>5</v>
      </c>
      <c r="BZY27" s="299"/>
      <c r="BZZ27" s="280"/>
      <c r="CAA27" s="281" t="str">
        <f t="shared" si="8"/>
        <v>materialendatabank</v>
      </c>
      <c r="CAB27" s="283" t="e">
        <f t="shared" si="7"/>
        <v>#N/A</v>
      </c>
      <c r="CAC27" s="284">
        <f t="shared" si="7"/>
        <v>2.8000000000000003</v>
      </c>
    </row>
    <row r="28" spans="1:47 2022:2057" ht="59.4" customHeight="1" x14ac:dyDescent="0.4">
      <c r="A28" s="12"/>
      <c r="B28" s="16">
        <v>0.4</v>
      </c>
      <c r="C28" s="16">
        <v>0.4</v>
      </c>
      <c r="D28" s="16">
        <v>0.4</v>
      </c>
      <c r="E28" s="16">
        <v>0.3</v>
      </c>
      <c r="F28" s="16">
        <v>0.2</v>
      </c>
      <c r="G28" s="16">
        <v>0.2</v>
      </c>
      <c r="H28" s="16"/>
      <c r="I28" s="16"/>
      <c r="J28" s="16"/>
      <c r="K28" s="452" t="s">
        <v>60</v>
      </c>
      <c r="L28" s="549" t="s">
        <v>75</v>
      </c>
      <c r="M28" s="551" t="str">
        <f>IF(N28="","         klik hier op linkermuisknop + selecteer via het pull down menu het gerealiseerd circulaire doel","")</f>
        <v xml:space="preserve">         klik hier op linkermuisknop + selecteer via het pull down menu het gerealiseerd circulaire doel</v>
      </c>
      <c r="N28" s="210"/>
      <c r="O28" s="20"/>
      <c r="P28" s="20"/>
      <c r="Q28" s="20"/>
      <c r="R28" s="20"/>
      <c r="S28" s="20"/>
      <c r="T28" s="20"/>
      <c r="U28" s="20"/>
      <c r="V28" s="128"/>
      <c r="W28" s="7">
        <f t="shared" si="6"/>
        <v>0.4</v>
      </c>
      <c r="X28" s="26">
        <f>'info weging'!B13</f>
        <v>0.6</v>
      </c>
      <c r="Y28" s="26">
        <f>'info weging'!C13</f>
        <v>0.4</v>
      </c>
      <c r="Z28" s="26">
        <f>'info weging'!D13</f>
        <v>0.4</v>
      </c>
      <c r="AA28" s="26">
        <f>'info weging'!E13</f>
        <v>0.3</v>
      </c>
      <c r="AB28" s="26">
        <f>'info weging'!F13</f>
        <v>0.2</v>
      </c>
      <c r="AC28" s="27">
        <f>'info weging'!G13</f>
        <v>0.2</v>
      </c>
      <c r="AD28" s="27">
        <f>'info weging'!H13</f>
        <v>0.4</v>
      </c>
      <c r="AE28" s="92" t="e">
        <f>VLOOKUP(N28,'info weging'!$A$36:$H$163,2,FALSE)</f>
        <v>#N/A</v>
      </c>
      <c r="AF28" s="8" t="e">
        <f>VLOOKUP(N28,'info weging'!$A$36:$H$163,3,FALSE)</f>
        <v>#N/A</v>
      </c>
      <c r="AG28" s="8" t="e">
        <f>VLOOKUP(N28,'info weging'!$A$36:$H$163,4,FALSE)</f>
        <v>#N/A</v>
      </c>
      <c r="AH28" s="8" t="e">
        <f>VLOOKUP(N28,'info weging'!$A$36:$H$163,5,FALSE)</f>
        <v>#N/A</v>
      </c>
      <c r="AI28" s="8" t="e">
        <f>VLOOKUP(N28,'info weging'!$A$36:$H$163,6,FALSE)</f>
        <v>#N/A</v>
      </c>
      <c r="AJ28" s="9" t="e">
        <f>VLOOKUP(N28,'info weging'!$A$36:$H$163,7,FALSE)</f>
        <v>#N/A</v>
      </c>
      <c r="AK28" s="9" t="e">
        <f>VLOOKUP(N28,'info weging'!$A$36:$H$163,8,FALSE)</f>
        <v>#N/A</v>
      </c>
      <c r="AL28" s="260" t="str">
        <f>IF(COUNTA(N28)=1,AE28*$AE$15+AF28*$AF$15+AG28*$AG$15+AH28*$AH$15+AI28*$AI$15+AJ28*$AJ$15+AK28*$AK$15,"----")</f>
        <v>----</v>
      </c>
      <c r="AM28" s="128"/>
      <c r="AN28" s="127">
        <f>'print Basis'!P23</f>
        <v>0.4</v>
      </c>
      <c r="AO28" s="202"/>
      <c r="AP28" s="622"/>
      <c r="AQ28" s="835"/>
      <c r="AR28" s="778"/>
      <c r="AS28" s="20"/>
      <c r="AT28" s="20"/>
      <c r="AU28" s="20"/>
      <c r="BYT28" s="299"/>
      <c r="BYU28" s="299"/>
      <c r="BYV28" s="665"/>
      <c r="BYW28" s="661" t="s">
        <v>77</v>
      </c>
      <c r="BYX28" s="661" t="s">
        <v>78</v>
      </c>
      <c r="BYY28" s="666" t="e">
        <f>AE30*X30*X27</f>
        <v>#N/A</v>
      </c>
      <c r="BYZ28" s="666">
        <f>X30*X27*100</f>
        <v>3.9</v>
      </c>
      <c r="BZA28" s="660"/>
      <c r="BZB28" s="661" t="s">
        <v>78</v>
      </c>
      <c r="BZC28" s="666" t="e">
        <f>AF30*Y30*Y27</f>
        <v>#N/A</v>
      </c>
      <c r="BZD28" s="666">
        <f>100*Y30*Y27</f>
        <v>1.4000000000000001</v>
      </c>
      <c r="BZE28" s="660"/>
      <c r="BZF28" s="661" t="s">
        <v>78</v>
      </c>
      <c r="BZG28" s="666" t="e">
        <f>AG30*Z30*Z27</f>
        <v>#N/A</v>
      </c>
      <c r="BZH28" s="666">
        <f>100*Z30*Z27</f>
        <v>3</v>
      </c>
      <c r="BZI28" s="660"/>
      <c r="BZJ28" s="661" t="s">
        <v>78</v>
      </c>
      <c r="BZK28" s="666" t="e">
        <f>AH30*AA30*AA27</f>
        <v>#N/A</v>
      </c>
      <c r="BZL28" s="666">
        <f>100*AA30*AA27</f>
        <v>2</v>
      </c>
      <c r="BZM28" s="660"/>
      <c r="BZN28" s="661" t="s">
        <v>78</v>
      </c>
      <c r="BZO28" s="666" t="e">
        <f>AI30*AB30*AB27</f>
        <v>#N/A</v>
      </c>
      <c r="BZP28" s="666">
        <f>100*G30*G27</f>
        <v>2</v>
      </c>
      <c r="BZQ28" s="660"/>
      <c r="BZR28" s="661" t="s">
        <v>78</v>
      </c>
      <c r="BZS28" s="661" t="e">
        <f>AJ30*AC30*AC27</f>
        <v>#N/A</v>
      </c>
      <c r="BZT28" s="661">
        <f>100*AC27*AC30</f>
        <v>2</v>
      </c>
      <c r="BZU28" s="299"/>
      <c r="BZV28" s="661" t="s">
        <v>78</v>
      </c>
      <c r="BZW28" s="661" t="e">
        <f>AK30*AD30*AD27</f>
        <v>#N/A</v>
      </c>
      <c r="BZX28" s="661">
        <f>100*AD30*AD27</f>
        <v>2.5</v>
      </c>
      <c r="BZY28" s="299"/>
      <c r="BZZ28" s="280"/>
      <c r="CAA28" s="281" t="str">
        <f t="shared" si="8"/>
        <v>natuurlijk proces</v>
      </c>
      <c r="CAB28" s="283" t="e">
        <f t="shared" si="7"/>
        <v>#N/A</v>
      </c>
      <c r="CAC28" s="284">
        <f t="shared" si="7"/>
        <v>1.4000000000000001</v>
      </c>
    </row>
    <row r="29" spans="1:47 2022:2057" ht="31.2" customHeight="1" x14ac:dyDescent="0.4">
      <c r="A29" s="12"/>
      <c r="B29" s="16">
        <v>0.4</v>
      </c>
      <c r="C29" s="16">
        <v>0.4</v>
      </c>
      <c r="D29" s="16">
        <v>0.4</v>
      </c>
      <c r="E29" s="16">
        <v>0.6</v>
      </c>
      <c r="F29" s="16">
        <v>0.7</v>
      </c>
      <c r="G29" s="16">
        <v>0.7</v>
      </c>
      <c r="H29" s="16"/>
      <c r="I29" s="16"/>
      <c r="J29" s="16"/>
      <c r="K29" s="452" t="s">
        <v>73</v>
      </c>
      <c r="L29" s="549" t="s">
        <v>79</v>
      </c>
      <c r="M29" s="551" t="str">
        <f>IF(N29="","         klik hier op linkermuisknop + selecteer via het pull down menu het gerealiseerd circulaire doel","")</f>
        <v xml:space="preserve">         klik hier op linkermuisknop + selecteer via het pull down menu het gerealiseerd circulaire doel</v>
      </c>
      <c r="N29" s="210"/>
      <c r="O29" s="20"/>
      <c r="P29" s="20"/>
      <c r="Q29" s="20"/>
      <c r="R29" s="20"/>
      <c r="S29" s="20"/>
      <c r="T29" s="20"/>
      <c r="U29" s="20"/>
      <c r="V29" s="128"/>
      <c r="W29" s="7">
        <f t="shared" si="6"/>
        <v>0.4</v>
      </c>
      <c r="X29" s="26">
        <f>'info weging'!B14</f>
        <v>0.1</v>
      </c>
      <c r="Y29" s="26">
        <f>'info weging'!C14</f>
        <v>0.4</v>
      </c>
      <c r="Z29" s="26">
        <f>'info weging'!D14</f>
        <v>0.4</v>
      </c>
      <c r="AA29" s="26">
        <f>'info weging'!E14</f>
        <v>0.6</v>
      </c>
      <c r="AB29" s="26">
        <f>'info weging'!F14</f>
        <v>0.7</v>
      </c>
      <c r="AC29" s="27">
        <f>'info weging'!G14</f>
        <v>0.7</v>
      </c>
      <c r="AD29" s="27">
        <f>'info weging'!H14</f>
        <v>0.4</v>
      </c>
      <c r="AE29" s="92" t="e">
        <f>VLOOKUP(N29,'info weging'!$A$36:$H$163,2,FALSE)</f>
        <v>#N/A</v>
      </c>
      <c r="AF29" s="8" t="e">
        <f>VLOOKUP(N29,'info weging'!$A$36:$H$163,3,FALSE)</f>
        <v>#N/A</v>
      </c>
      <c r="AG29" s="8" t="e">
        <f>VLOOKUP(N29,'info weging'!$A$36:$H$163,4,FALSE)</f>
        <v>#N/A</v>
      </c>
      <c r="AH29" s="8" t="e">
        <f>VLOOKUP(N29,'info weging'!$A$36:$H$163,5,FALSE)</f>
        <v>#N/A</v>
      </c>
      <c r="AI29" s="8" t="e">
        <f>VLOOKUP(N29,'info weging'!$A$36:$H$163,6,FALSE)</f>
        <v>#N/A</v>
      </c>
      <c r="AJ29" s="9" t="e">
        <f>VLOOKUP(N29,'info weging'!$A$36:$H$163,7,FALSE)</f>
        <v>#N/A</v>
      </c>
      <c r="AK29" s="9" t="e">
        <f>VLOOKUP(N29,'info weging'!$A$36:$H$163,8,FALSE)</f>
        <v>#N/A</v>
      </c>
      <c r="AL29" s="260" t="str">
        <f>IF(COUNTA(N29)=1,AE29*$AE$15+AF29*$AF$15+AG29*$AG$15+AH29*$AH$15+AI29*$AI$15+AJ29*$AJ$15+AK29*$AK$15,"----")</f>
        <v>----</v>
      </c>
      <c r="AM29" s="128"/>
      <c r="AN29" s="127">
        <f>'print Basis'!P24</f>
        <v>0.4</v>
      </c>
      <c r="AO29" s="202"/>
      <c r="AP29" s="622"/>
      <c r="AQ29" s="835"/>
      <c r="AR29" s="778"/>
      <c r="AS29" s="20"/>
      <c r="AT29" s="20"/>
      <c r="AU29" s="20"/>
      <c r="BYT29" s="299"/>
      <c r="BYU29" s="299"/>
      <c r="BYV29" s="665" t="s">
        <v>81</v>
      </c>
      <c r="BYW29" s="661" t="s">
        <v>60</v>
      </c>
      <c r="BYX29" s="661" t="s">
        <v>82</v>
      </c>
      <c r="BYY29" s="666" t="e">
        <f>AE32*X32*X31</f>
        <v>#N/A</v>
      </c>
      <c r="BYZ29" s="666">
        <f>100*X32*X31</f>
        <v>4.5</v>
      </c>
      <c r="BZA29" s="660"/>
      <c r="BZB29" s="661" t="s">
        <v>82</v>
      </c>
      <c r="BZC29" s="666" t="e">
        <f>AF32*Y32*Y31</f>
        <v>#N/A</v>
      </c>
      <c r="BZD29" s="666">
        <f>100*Y32*Y31</f>
        <v>6.3000000000000007</v>
      </c>
      <c r="BZE29" s="660"/>
      <c r="BZF29" s="661" t="s">
        <v>82</v>
      </c>
      <c r="BZG29" s="666" t="e">
        <f>AG32*Z32*Z31</f>
        <v>#N/A</v>
      </c>
      <c r="BZH29" s="666">
        <f>100*Z32*Z31</f>
        <v>9</v>
      </c>
      <c r="BZI29" s="660"/>
      <c r="BZJ29" s="661" t="s">
        <v>82</v>
      </c>
      <c r="BZK29" s="666" t="e">
        <f>AH32*AA32*AA31</f>
        <v>#N/A</v>
      </c>
      <c r="BZL29" s="666">
        <f>100*AA32*AA31</f>
        <v>8</v>
      </c>
      <c r="BZM29" s="660"/>
      <c r="BZN29" s="661" t="s">
        <v>82</v>
      </c>
      <c r="BZO29" s="666" t="e">
        <f>AI32*AB32*AB31</f>
        <v>#N/A</v>
      </c>
      <c r="BZP29" s="666">
        <f>100*G32*G31</f>
        <v>7.5</v>
      </c>
      <c r="BZQ29" s="660"/>
      <c r="BZR29" s="661" t="s">
        <v>82</v>
      </c>
      <c r="BZS29" s="661" t="e">
        <f>AJ32*AC32*AC31</f>
        <v>#N/A</v>
      </c>
      <c r="BZT29" s="661">
        <f>100*AC32*AC31</f>
        <v>7.5</v>
      </c>
      <c r="BZU29" s="299"/>
      <c r="BZV29" s="661" t="s">
        <v>82</v>
      </c>
      <c r="BZW29" s="661" t="e">
        <f>AK32*AD32*AD31</f>
        <v>#N/A</v>
      </c>
      <c r="BZX29" s="661">
        <f>100*AD32*AD31</f>
        <v>11.25</v>
      </c>
      <c r="BZY29" s="299"/>
      <c r="BZZ29" s="280"/>
      <c r="CAA29" s="281" t="str">
        <f t="shared" si="8"/>
        <v>herbruikb.na afdank</v>
      </c>
      <c r="CAB29" s="283" t="e">
        <f t="shared" si="7"/>
        <v>#N/A</v>
      </c>
      <c r="CAC29" s="284">
        <f t="shared" si="7"/>
        <v>6.3000000000000007</v>
      </c>
    </row>
    <row r="30" spans="1:47 2022:2057" ht="45.6" customHeight="1" x14ac:dyDescent="0.4">
      <c r="A30" s="12"/>
      <c r="B30" s="16">
        <v>0.2</v>
      </c>
      <c r="C30" s="16">
        <v>0.2</v>
      </c>
      <c r="D30" s="16">
        <v>0.2</v>
      </c>
      <c r="E30" s="16">
        <v>0.1</v>
      </c>
      <c r="F30" s="16">
        <v>0.1</v>
      </c>
      <c r="G30" s="16">
        <v>0.1</v>
      </c>
      <c r="H30" s="16"/>
      <c r="I30" s="16"/>
      <c r="J30" s="16"/>
      <c r="K30" s="452" t="s">
        <v>77</v>
      </c>
      <c r="L30" s="549" t="s">
        <v>83</v>
      </c>
      <c r="M30" s="551" t="str">
        <f>IF(N30="","         klik hier op linkermuisknop + selecteer via het pull down menu het gerealiseerd circulaire doel","")</f>
        <v xml:space="preserve">         klik hier op linkermuisknop + selecteer via het pull down menu het gerealiseerd circulaire doel</v>
      </c>
      <c r="N30" s="210"/>
      <c r="O30" s="20"/>
      <c r="P30" s="20"/>
      <c r="Q30" s="20"/>
      <c r="R30" s="20"/>
      <c r="S30" s="20"/>
      <c r="T30" s="20"/>
      <c r="U30" s="20"/>
      <c r="V30" s="128"/>
      <c r="W30" s="7">
        <f t="shared" si="6"/>
        <v>0.2</v>
      </c>
      <c r="X30" s="26">
        <f>'info weging'!B15</f>
        <v>0.3</v>
      </c>
      <c r="Y30" s="26">
        <f>'info weging'!C15</f>
        <v>0.2</v>
      </c>
      <c r="Z30" s="26">
        <f>'info weging'!D15</f>
        <v>0.2</v>
      </c>
      <c r="AA30" s="26">
        <f>'info weging'!E15</f>
        <v>0.1</v>
      </c>
      <c r="AB30" s="26">
        <f>'info weging'!F15</f>
        <v>0.1</v>
      </c>
      <c r="AC30" s="27">
        <f>'info weging'!G15</f>
        <v>0.1</v>
      </c>
      <c r="AD30" s="27">
        <f>'info weging'!H15</f>
        <v>0.2</v>
      </c>
      <c r="AE30" s="92" t="e">
        <f>VLOOKUP(N30,'info weging'!$A$36:$H$163,2,FALSE)</f>
        <v>#N/A</v>
      </c>
      <c r="AF30" s="8" t="e">
        <f>VLOOKUP(N30,'info weging'!$A$36:$H$163,3,FALSE)</f>
        <v>#N/A</v>
      </c>
      <c r="AG30" s="8" t="e">
        <f>VLOOKUP(N30,'info weging'!$A$36:$H$163,4,FALSE)</f>
        <v>#N/A</v>
      </c>
      <c r="AH30" s="8" t="e">
        <f>VLOOKUP(N30,'info weging'!$A$36:$H$163,5,FALSE)</f>
        <v>#N/A</v>
      </c>
      <c r="AI30" s="8" t="e">
        <f>VLOOKUP(N30,'info weging'!$A$36:$H$163,6,FALSE)</f>
        <v>#N/A</v>
      </c>
      <c r="AJ30" s="9" t="e">
        <f>VLOOKUP(N30,'info weging'!$A$36:$H$163,7,FALSE)</f>
        <v>#N/A</v>
      </c>
      <c r="AK30" s="9" t="e">
        <f>VLOOKUP(N30,'info weging'!$A$36:$H$163,8,FALSE)</f>
        <v>#N/A</v>
      </c>
      <c r="AL30" s="260" t="str">
        <f>IF(COUNTA(N30)=1,AE30*$AE$15+AF30*$AF$15+AG30*$AG$15+AH30*$AH$15+AI30*$AI$15+AJ30*$AJ$15+AK30*$AK$15,"----")</f>
        <v>----</v>
      </c>
      <c r="AM30" s="128"/>
      <c r="AN30" s="127">
        <f>'print Basis'!P25</f>
        <v>0.2</v>
      </c>
      <c r="AO30" s="202"/>
      <c r="AP30" s="622"/>
      <c r="AQ30" s="835"/>
      <c r="AR30" s="778"/>
      <c r="AS30" s="20"/>
      <c r="AT30" s="20"/>
      <c r="AU30" s="20"/>
      <c r="BYT30" s="299"/>
      <c r="BYU30" s="299"/>
      <c r="BYV30" s="661"/>
      <c r="BYW30" s="661" t="s">
        <v>73</v>
      </c>
      <c r="BYX30" s="661" t="s">
        <v>85</v>
      </c>
      <c r="BYY30" s="666" t="e">
        <f>AE33*X33*X31</f>
        <v>#N/A</v>
      </c>
      <c r="BYZ30" s="666">
        <f>100*X33*X31</f>
        <v>0.5</v>
      </c>
      <c r="BZA30" s="660"/>
      <c r="BZB30" s="661" t="s">
        <v>85</v>
      </c>
      <c r="BZC30" s="666" t="e">
        <f>AF33*Y33*Y31</f>
        <v>#N/A</v>
      </c>
      <c r="BZD30" s="666">
        <f>Y33*Y31*100</f>
        <v>0.70000000000000007</v>
      </c>
      <c r="BZE30" s="660"/>
      <c r="BZF30" s="661" t="s">
        <v>85</v>
      </c>
      <c r="BZG30" s="666" t="e">
        <f>AG33*Z33*Z31</f>
        <v>#N/A</v>
      </c>
      <c r="BZH30" s="666">
        <f>Z33*Z31*100</f>
        <v>1.0000000000000002</v>
      </c>
      <c r="BZI30" s="660"/>
      <c r="BZJ30" s="661" t="s">
        <v>85</v>
      </c>
      <c r="BZK30" s="666" t="e">
        <f>AH33*AA33*AA31</f>
        <v>#N/A</v>
      </c>
      <c r="BZL30" s="666">
        <f>100*AA33*AA31</f>
        <v>2</v>
      </c>
      <c r="BZM30" s="660"/>
      <c r="BZN30" s="661" t="s">
        <v>85</v>
      </c>
      <c r="BZO30" s="666" t="e">
        <f>AI33*AB33*AB31</f>
        <v>#N/A</v>
      </c>
      <c r="BZP30" s="666">
        <f>G33*G31*100</f>
        <v>7.5</v>
      </c>
      <c r="BZQ30" s="660"/>
      <c r="BZR30" s="661" t="s">
        <v>85</v>
      </c>
      <c r="BZS30" s="661" t="e">
        <f>AJ33*AC33*AC31</f>
        <v>#N/A</v>
      </c>
      <c r="BZT30" s="661">
        <f>AC33*AC31*100</f>
        <v>7.5</v>
      </c>
      <c r="BZU30" s="299"/>
      <c r="BZV30" s="661" t="s">
        <v>85</v>
      </c>
      <c r="BZW30" s="661" t="e">
        <f>AK33*AD33*AD31</f>
        <v>#N/A</v>
      </c>
      <c r="BZX30" s="661">
        <f>100*AD33*AD31</f>
        <v>1.25</v>
      </c>
      <c r="BZY30" s="299"/>
      <c r="BZZ30" s="280"/>
      <c r="CAA30" s="281" t="str">
        <f t="shared" si="8"/>
        <v>materialenpaspoort</v>
      </c>
      <c r="CAB30" s="283" t="e">
        <f t="shared" si="7"/>
        <v>#N/A</v>
      </c>
      <c r="CAC30" s="284">
        <f t="shared" si="7"/>
        <v>0.70000000000000007</v>
      </c>
    </row>
    <row r="31" spans="1:47 2022:2057" ht="21" customHeight="1" x14ac:dyDescent="0.4">
      <c r="A31" s="12"/>
      <c r="B31" s="15">
        <v>0.05</v>
      </c>
      <c r="C31" s="15">
        <v>0.1</v>
      </c>
      <c r="D31" s="15">
        <v>0.15</v>
      </c>
      <c r="E31" s="15">
        <v>0.1</v>
      </c>
      <c r="F31" s="15">
        <v>0.15</v>
      </c>
      <c r="G31" s="15">
        <v>0.15</v>
      </c>
      <c r="H31" s="15"/>
      <c r="I31" s="15"/>
      <c r="J31" s="15"/>
      <c r="K31" s="85">
        <v>4</v>
      </c>
      <c r="L31" s="44" t="s">
        <v>86</v>
      </c>
      <c r="M31" s="41"/>
      <c r="N31" s="240"/>
      <c r="O31" s="20"/>
      <c r="P31" s="20"/>
      <c r="Q31" s="20"/>
      <c r="R31" s="20"/>
      <c r="S31" s="20"/>
      <c r="T31" s="20"/>
      <c r="U31" s="20">
        <v>4</v>
      </c>
      <c r="V31" s="128"/>
      <c r="W31" s="7">
        <f t="shared" si="6"/>
        <v>7.0000000000000007E-2</v>
      </c>
      <c r="X31" s="22">
        <f>'info weging'!B16</f>
        <v>0.05</v>
      </c>
      <c r="Y31" s="22">
        <f>'info weging'!C16</f>
        <v>7.0000000000000007E-2</v>
      </c>
      <c r="Z31" s="22">
        <f>'info weging'!D16</f>
        <v>0.1</v>
      </c>
      <c r="AA31" s="22">
        <f>'info weging'!E16</f>
        <v>0.1</v>
      </c>
      <c r="AB31" s="22">
        <f>'info weging'!F16</f>
        <v>0.15</v>
      </c>
      <c r="AC31" s="23">
        <f>'info weging'!G16</f>
        <v>0.15</v>
      </c>
      <c r="AD31" s="23">
        <f>'info weging'!H16</f>
        <v>0.125</v>
      </c>
      <c r="AE31" s="75"/>
      <c r="AF31" s="70"/>
      <c r="AG31" s="70"/>
      <c r="AH31" s="70"/>
      <c r="AI31" s="70"/>
      <c r="AJ31" s="71"/>
      <c r="AK31" s="71"/>
      <c r="AL31" s="261"/>
      <c r="AM31" s="128"/>
      <c r="AN31" s="201">
        <f>'print Basis'!P26</f>
        <v>7.0000000000000007E-2</v>
      </c>
      <c r="AO31" s="128"/>
      <c r="AP31" s="621" t="e">
        <f>AN31*(AL32*AN32+AL33*AN33)</f>
        <v>#VALUE!</v>
      </c>
      <c r="AQ31" s="835"/>
      <c r="AR31" s="779"/>
      <c r="AS31" s="20"/>
      <c r="AT31" s="20"/>
      <c r="AU31" s="20"/>
      <c r="BYT31" s="299"/>
      <c r="BYU31" s="299"/>
      <c r="BYV31" s="665" t="s">
        <v>87</v>
      </c>
      <c r="BYW31" s="661" t="s">
        <v>60</v>
      </c>
      <c r="BYX31" s="661" t="s">
        <v>88</v>
      </c>
      <c r="BYY31" s="666" t="e">
        <f>AE35*X35*X34</f>
        <v>#N/A</v>
      </c>
      <c r="BYZ31" s="666">
        <f>100*X35*X34</f>
        <v>15</v>
      </c>
      <c r="BZA31" s="660"/>
      <c r="BZB31" s="661" t="s">
        <v>88</v>
      </c>
      <c r="BZC31" s="666" t="e">
        <f>AF35*Y35*Y34</f>
        <v>#N/A</v>
      </c>
      <c r="BZD31" s="666">
        <f>100*Y35*Y34</f>
        <v>10</v>
      </c>
      <c r="BZE31" s="660"/>
      <c r="BZF31" s="661" t="s">
        <v>88</v>
      </c>
      <c r="BZG31" s="666" t="e">
        <f>AG35*Z35*Z34</f>
        <v>#N/A</v>
      </c>
      <c r="BZH31" s="666">
        <f>100*Z35*Z34</f>
        <v>10</v>
      </c>
      <c r="BZI31" s="660"/>
      <c r="BZJ31" s="661" t="s">
        <v>88</v>
      </c>
      <c r="BZK31" s="666" t="e">
        <f>AH35*AA35*AA34</f>
        <v>#N/A</v>
      </c>
      <c r="BZL31" s="666">
        <f>100*AA35*AA34</f>
        <v>5</v>
      </c>
      <c r="BZM31" s="660"/>
      <c r="BZN31" s="661" t="s">
        <v>88</v>
      </c>
      <c r="BZO31" s="666" t="e">
        <f>AI35*AB35*AB34</f>
        <v>#N/A</v>
      </c>
      <c r="BZP31" s="666">
        <f>100*G35*G34</f>
        <v>5</v>
      </c>
      <c r="BZQ31" s="660"/>
      <c r="BZR31" s="661" t="s">
        <v>88</v>
      </c>
      <c r="BZS31" s="661" t="e">
        <f>AJ35*AC35*AC34</f>
        <v>#N/A</v>
      </c>
      <c r="BZT31" s="661">
        <f>100*AC35*AC34</f>
        <v>5</v>
      </c>
      <c r="BZU31" s="299"/>
      <c r="BZV31" s="661" t="s">
        <v>88</v>
      </c>
      <c r="BZW31" s="661" t="e">
        <f>AK35*AD35*AD34</f>
        <v>#N/A</v>
      </c>
      <c r="BZX31" s="661">
        <f>100*AD35*AD34</f>
        <v>12.5</v>
      </c>
      <c r="BZY31" s="299"/>
      <c r="BZZ31" s="280"/>
      <c r="CAA31" s="281" t="str">
        <f t="shared" si="8"/>
        <v>toekomstgericht</v>
      </c>
      <c r="CAB31" s="283" t="e">
        <f t="shared" si="7"/>
        <v>#N/A</v>
      </c>
      <c r="CAC31" s="284">
        <f t="shared" si="7"/>
        <v>10</v>
      </c>
    </row>
    <row r="32" spans="1:47 2022:2057" ht="51" customHeight="1" x14ac:dyDescent="0.4">
      <c r="A32" s="12"/>
      <c r="B32" s="16">
        <f>1-B33</f>
        <v>0.9</v>
      </c>
      <c r="C32" s="16">
        <f t="shared" ref="C32:G32" si="9">1-C33</f>
        <v>0.9</v>
      </c>
      <c r="D32" s="16">
        <f t="shared" si="9"/>
        <v>0.9</v>
      </c>
      <c r="E32" s="16">
        <v>0.8</v>
      </c>
      <c r="F32" s="16">
        <f t="shared" si="9"/>
        <v>0.5</v>
      </c>
      <c r="G32" s="16">
        <f t="shared" si="9"/>
        <v>0.5</v>
      </c>
      <c r="H32" s="16"/>
      <c r="I32" s="16"/>
      <c r="J32" s="16"/>
      <c r="K32" s="452" t="s">
        <v>60</v>
      </c>
      <c r="L32" s="549" t="s">
        <v>89</v>
      </c>
      <c r="M32" s="551" t="str">
        <f>IF(N32="","         klik hier op linkermuisknop + selecteer via het pull down menu het gerealiseerd circulaire doel","")</f>
        <v xml:space="preserve">         klik hier op linkermuisknop + selecteer via het pull down menu het gerealiseerd circulaire doel</v>
      </c>
      <c r="N32" s="210"/>
      <c r="O32" s="20"/>
      <c r="P32" s="20"/>
      <c r="Q32" s="20"/>
      <c r="R32" s="20"/>
      <c r="S32" s="20"/>
      <c r="T32" s="20"/>
      <c r="U32" s="20"/>
      <c r="V32" s="128"/>
      <c r="W32" s="7">
        <f t="shared" si="6"/>
        <v>0.9</v>
      </c>
      <c r="X32" s="26">
        <f>'info weging'!B17</f>
        <v>0.9</v>
      </c>
      <c r="Y32" s="26">
        <f>'info weging'!C17</f>
        <v>0.9</v>
      </c>
      <c r="Z32" s="26">
        <f>'info weging'!D17</f>
        <v>0.9</v>
      </c>
      <c r="AA32" s="26">
        <f>'info weging'!E17</f>
        <v>0.8</v>
      </c>
      <c r="AB32" s="26">
        <f>'info weging'!F17</f>
        <v>0.5</v>
      </c>
      <c r="AC32" s="27">
        <f>'info weging'!G17</f>
        <v>0.5</v>
      </c>
      <c r="AD32" s="27">
        <f>'info weging'!H17</f>
        <v>0.9</v>
      </c>
      <c r="AE32" s="94" t="e">
        <f>VLOOKUP(N32,'info weging'!$A$36:$H$163,2,FALSE)</f>
        <v>#N/A</v>
      </c>
      <c r="AF32" s="8" t="e">
        <f>VLOOKUP(N32,'info weging'!$A$36:$H$163,3,FALSE)</f>
        <v>#N/A</v>
      </c>
      <c r="AG32" s="8" t="e">
        <f>VLOOKUP(N32,'info weging'!$A$36:$H$163,4,FALSE)</f>
        <v>#N/A</v>
      </c>
      <c r="AH32" s="8" t="e">
        <f>VLOOKUP(N32,'info weging'!$A$36:$H$163,5,FALSE)</f>
        <v>#N/A</v>
      </c>
      <c r="AI32" s="8" t="e">
        <f>VLOOKUP(N32,'info weging'!$A$36:$H$163,6,FALSE)</f>
        <v>#N/A</v>
      </c>
      <c r="AJ32" s="9" t="e">
        <f>VLOOKUP(N32,'info weging'!$A$36:$H$163,7,FALSE)</f>
        <v>#N/A</v>
      </c>
      <c r="AK32" s="9" t="e">
        <f>VLOOKUP(N32,'info weging'!$A$36:$H$163,8,FALSE)</f>
        <v>#N/A</v>
      </c>
      <c r="AL32" s="260" t="str">
        <f>IF(COUNTA(N32)=1,AE32*$AE$15+AF32*$AF$15+AG32*$AG$15+AH32*$AH$15+AI32*$AI$15+AJ32*$AJ$15+AK32*$AK$15,"----")</f>
        <v>----</v>
      </c>
      <c r="AM32" s="128"/>
      <c r="AN32" s="127">
        <f>'print Basis'!P27</f>
        <v>0.9</v>
      </c>
      <c r="AO32" s="128"/>
      <c r="AP32" s="622"/>
      <c r="AQ32" s="835"/>
      <c r="AR32" s="778"/>
      <c r="AS32" s="20"/>
      <c r="AT32" s="20"/>
      <c r="AU32" s="20"/>
      <c r="BYT32" s="299"/>
      <c r="BYU32" s="299"/>
      <c r="BYV32" s="665" t="s">
        <v>91</v>
      </c>
      <c r="BYW32" s="661" t="s">
        <v>60</v>
      </c>
      <c r="BYX32" s="661" t="s">
        <v>35</v>
      </c>
      <c r="BYY32" s="666" t="e">
        <f>AE37*X37*X36</f>
        <v>#N/A</v>
      </c>
      <c r="BYZ32" s="666">
        <f>100*X37*X36</f>
        <v>5</v>
      </c>
      <c r="BZA32" s="660"/>
      <c r="BZB32" s="661" t="s">
        <v>35</v>
      </c>
      <c r="BZC32" s="666" t="e">
        <f>AF37*Y37*Y36</f>
        <v>#N/A</v>
      </c>
      <c r="BZD32" s="666">
        <f>100*Y37*Y36</f>
        <v>7.0000000000000009</v>
      </c>
      <c r="BZE32" s="660"/>
      <c r="BZF32" s="661" t="s">
        <v>35</v>
      </c>
      <c r="BZG32" s="666" t="e">
        <f>AG37*Z37*Z36</f>
        <v>#N/A</v>
      </c>
      <c r="BZH32" s="666">
        <f>100*Z37*Z36</f>
        <v>13</v>
      </c>
      <c r="BZI32" s="660"/>
      <c r="BZJ32" s="661" t="s">
        <v>35</v>
      </c>
      <c r="BZK32" s="666" t="e">
        <f>AH37*AA37*AA36</f>
        <v>#N/A</v>
      </c>
      <c r="BZL32" s="666">
        <f>100*AA37*AA36</f>
        <v>15</v>
      </c>
      <c r="BZM32" s="660"/>
      <c r="BZN32" s="661" t="s">
        <v>35</v>
      </c>
      <c r="BZO32" s="666" t="e">
        <f>AI37*AB37*AB36</f>
        <v>#N/A</v>
      </c>
      <c r="BZP32" s="666">
        <f>100*G37*G36</f>
        <v>20</v>
      </c>
      <c r="BZQ32" s="660"/>
      <c r="BZR32" s="661" t="s">
        <v>35</v>
      </c>
      <c r="BZS32" s="661" t="e">
        <f>AJ37*AC37*AC36</f>
        <v>#N/A</v>
      </c>
      <c r="BZT32" s="661">
        <f>100*AC37*AC36</f>
        <v>20</v>
      </c>
      <c r="BZU32" s="299"/>
      <c r="BZV32" s="661" t="s">
        <v>35</v>
      </c>
      <c r="BZW32" s="661" t="e">
        <f>AK37*AD37*AD36</f>
        <v>#N/A</v>
      </c>
      <c r="BZX32" s="661">
        <f>100*AD37*AD36</f>
        <v>12.5</v>
      </c>
      <c r="BZY32" s="299"/>
      <c r="BZZ32" s="280"/>
      <c r="CAA32" s="281" t="str">
        <f t="shared" si="8"/>
        <v>beheer/onderhoud</v>
      </c>
      <c r="CAB32" s="283" t="e">
        <f t="shared" si="7"/>
        <v>#N/A</v>
      </c>
      <c r="CAC32" s="284">
        <f t="shared" si="7"/>
        <v>7.0000000000000009</v>
      </c>
    </row>
    <row r="33" spans="1:49 2022:2057" ht="40.200000000000003" customHeight="1" x14ac:dyDescent="0.4">
      <c r="A33" s="12"/>
      <c r="B33" s="16">
        <v>0.1</v>
      </c>
      <c r="C33" s="16">
        <v>0.1</v>
      </c>
      <c r="D33" s="16">
        <v>0.1</v>
      </c>
      <c r="E33" s="16">
        <v>0.2</v>
      </c>
      <c r="F33" s="16">
        <v>0.5</v>
      </c>
      <c r="G33" s="16">
        <v>0.5</v>
      </c>
      <c r="H33" s="16"/>
      <c r="I33" s="16"/>
      <c r="J33" s="16"/>
      <c r="K33" s="452" t="s">
        <v>73</v>
      </c>
      <c r="L33" s="549" t="s">
        <v>85</v>
      </c>
      <c r="M33" s="551" t="str">
        <f>IF(N33="","         klik hier op linkermuisknop + selecteer via het pull down menu het gerealiseerd circulaire doel","")</f>
        <v xml:space="preserve">         klik hier op linkermuisknop + selecteer via het pull down menu het gerealiseerd circulaire doel</v>
      </c>
      <c r="N33" s="210"/>
      <c r="O33" s="20"/>
      <c r="P33" s="20"/>
      <c r="Q33" s="20"/>
      <c r="R33" s="20"/>
      <c r="S33" s="20"/>
      <c r="T33" s="20"/>
      <c r="U33" s="20"/>
      <c r="V33" s="128"/>
      <c r="W33" s="7">
        <f t="shared" si="6"/>
        <v>0.1</v>
      </c>
      <c r="X33" s="26">
        <f>'info weging'!B18</f>
        <v>0.1</v>
      </c>
      <c r="Y33" s="26">
        <f>'info weging'!C18</f>
        <v>0.1</v>
      </c>
      <c r="Z33" s="26">
        <f>'info weging'!D18</f>
        <v>0.1</v>
      </c>
      <c r="AA33" s="26">
        <f>'info weging'!E18</f>
        <v>0.2</v>
      </c>
      <c r="AB33" s="26">
        <f>'info weging'!F18</f>
        <v>0.5</v>
      </c>
      <c r="AC33" s="27">
        <f>'info weging'!G18</f>
        <v>0.5</v>
      </c>
      <c r="AD33" s="27">
        <f>'info weging'!H18</f>
        <v>0.1</v>
      </c>
      <c r="AE33" s="94" t="e">
        <f>VLOOKUP(N33,'info weging'!$A$36:$H$163,2,FALSE)</f>
        <v>#N/A</v>
      </c>
      <c r="AF33" s="8" t="e">
        <f>VLOOKUP(N33,'info weging'!$A$36:$H$163,3,FALSE)</f>
        <v>#N/A</v>
      </c>
      <c r="AG33" s="8" t="e">
        <f>VLOOKUP(N33,'info weging'!$A$36:$H$163,4,FALSE)</f>
        <v>#N/A</v>
      </c>
      <c r="AH33" s="8" t="e">
        <f>VLOOKUP(N33,'info weging'!$A$36:$H$163,5,FALSE)</f>
        <v>#N/A</v>
      </c>
      <c r="AI33" s="8" t="e">
        <f>VLOOKUP(N33,'info weging'!$A$36:$H$163,6,FALSE)</f>
        <v>#N/A</v>
      </c>
      <c r="AJ33" s="9" t="e">
        <f>VLOOKUP(N33,'info weging'!$A$36:$H$163,7,FALSE)</f>
        <v>#N/A</v>
      </c>
      <c r="AK33" s="9" t="e">
        <f>VLOOKUP(N33,'info weging'!$A$36:$H$163,8,FALSE)</f>
        <v>#N/A</v>
      </c>
      <c r="AL33" s="260" t="str">
        <f>IF(COUNTA(N33)=1,AE33*$AE$15+AF33*$AF$15+AG33*$AG$15+AH33*$AH$15+AI33*$AI$15+AJ33*$AJ$15+AK33*$AK$15,"----")</f>
        <v>----</v>
      </c>
      <c r="AM33" s="128"/>
      <c r="AN33" s="127">
        <f>'print Basis'!P28</f>
        <v>0.1</v>
      </c>
      <c r="AO33" s="128"/>
      <c r="AP33" s="622"/>
      <c r="AQ33" s="835"/>
      <c r="AR33" s="778"/>
      <c r="AS33" s="20"/>
      <c r="AT33" s="20"/>
      <c r="AU33" s="20"/>
      <c r="AW33" t="s">
        <v>93</v>
      </c>
      <c r="BYT33" s="299"/>
      <c r="BYU33" s="299"/>
      <c r="BYV33" s="665" t="s">
        <v>94</v>
      </c>
      <c r="BYW33" s="661" t="s">
        <v>60</v>
      </c>
      <c r="BYX33" s="661" t="s">
        <v>95</v>
      </c>
      <c r="BYY33" s="666" t="e">
        <f>AE39*X39*X38</f>
        <v>#N/A</v>
      </c>
      <c r="BYZ33" s="666">
        <f>100*X39*X38</f>
        <v>2.5</v>
      </c>
      <c r="BZA33" s="660"/>
      <c r="BZB33" s="661" t="s">
        <v>95</v>
      </c>
      <c r="BZC33" s="666" t="e">
        <f>AF39*Y39*Y38</f>
        <v>#N/A</v>
      </c>
      <c r="BZD33" s="666">
        <f>100*Y39*Y38</f>
        <v>20</v>
      </c>
      <c r="BZE33" s="660"/>
      <c r="BZF33" s="661" t="s">
        <v>95</v>
      </c>
      <c r="BZG33" s="666" t="e">
        <f>AG39*Z39*Z38</f>
        <v>#N/A</v>
      </c>
      <c r="BZH33" s="666">
        <f>100*Z39*Z38</f>
        <v>10</v>
      </c>
      <c r="BZI33" s="660"/>
      <c r="BZJ33" s="661" t="s">
        <v>95</v>
      </c>
      <c r="BZK33" s="666" t="e">
        <f>AH39*AA39*AA38</f>
        <v>#N/A</v>
      </c>
      <c r="BZL33" s="666">
        <f>100*AA39*AA38</f>
        <v>10</v>
      </c>
      <c r="BZM33" s="660"/>
      <c r="BZN33" s="661" t="s">
        <v>95</v>
      </c>
      <c r="BZO33" s="666" t="e">
        <f>AI39*AB39*AB38</f>
        <v>#N/A</v>
      </c>
      <c r="BZP33" s="666">
        <f>100*G39*G38</f>
        <v>7.0000000000000009</v>
      </c>
      <c r="BZQ33" s="660"/>
      <c r="BZR33" s="661" t="s">
        <v>95</v>
      </c>
      <c r="BZS33" s="661" t="e">
        <f>AJ39*AC39*AC38</f>
        <v>#N/A</v>
      </c>
      <c r="BZT33" s="661">
        <f>100*AC39*AC38</f>
        <v>2</v>
      </c>
      <c r="BZU33" s="299"/>
      <c r="BZV33" s="661" t="s">
        <v>95</v>
      </c>
      <c r="BZW33" s="661" t="e">
        <f>AK39*AD39*AD38</f>
        <v>#N/A</v>
      </c>
      <c r="BZX33" s="661">
        <f>100*AD39*AD38</f>
        <v>10</v>
      </c>
      <c r="BZY33" s="299"/>
      <c r="BZZ33" s="280"/>
      <c r="CAA33" s="281" t="str">
        <f t="shared" si="8"/>
        <v>MKIberekening</v>
      </c>
      <c r="CAB33" s="283" t="e">
        <f t="shared" si="7"/>
        <v>#N/A</v>
      </c>
      <c r="CAC33" s="284">
        <f t="shared" si="7"/>
        <v>20</v>
      </c>
    </row>
    <row r="34" spans="1:49 2022:2057" ht="21" customHeight="1" x14ac:dyDescent="0.4">
      <c r="A34" s="12"/>
      <c r="B34" s="15">
        <v>0.15</v>
      </c>
      <c r="C34" s="15">
        <v>0.11</v>
      </c>
      <c r="D34" s="15">
        <v>0.1</v>
      </c>
      <c r="E34" s="15">
        <v>0.11</v>
      </c>
      <c r="F34" s="15">
        <v>0.1</v>
      </c>
      <c r="G34" s="15">
        <v>0.05</v>
      </c>
      <c r="H34" s="15"/>
      <c r="I34" s="15"/>
      <c r="J34" s="15"/>
      <c r="K34" s="99">
        <v>5</v>
      </c>
      <c r="L34" s="100" t="s">
        <v>96</v>
      </c>
      <c r="M34" s="101"/>
      <c r="N34" s="241"/>
      <c r="O34" s="20"/>
      <c r="P34" s="20"/>
      <c r="Q34" s="20"/>
      <c r="R34" s="20"/>
      <c r="S34" s="20"/>
      <c r="T34" s="20"/>
      <c r="U34" s="20">
        <v>5</v>
      </c>
      <c r="V34" s="128"/>
      <c r="W34" s="7">
        <f t="shared" si="6"/>
        <v>0.1</v>
      </c>
      <c r="X34" s="22">
        <f>'info weging'!B19</f>
        <v>0.15</v>
      </c>
      <c r="Y34" s="22">
        <f>'info weging'!C19</f>
        <v>0.1</v>
      </c>
      <c r="Z34" s="22">
        <f>'info weging'!D19</f>
        <v>0.1</v>
      </c>
      <c r="AA34" s="22">
        <f>'info weging'!E19</f>
        <v>0.05</v>
      </c>
      <c r="AB34" s="22">
        <f>'info weging'!F19</f>
        <v>0.05</v>
      </c>
      <c r="AC34" s="23">
        <f>'info weging'!G19</f>
        <v>0.05</v>
      </c>
      <c r="AD34" s="23">
        <f>'info weging'!H19</f>
        <v>0.125</v>
      </c>
      <c r="AE34" s="102"/>
      <c r="AF34" s="68"/>
      <c r="AG34" s="68"/>
      <c r="AH34" s="68"/>
      <c r="AI34" s="68"/>
      <c r="AJ34" s="69"/>
      <c r="AK34" s="69"/>
      <c r="AL34" s="262"/>
      <c r="AM34" s="128"/>
      <c r="AN34" s="201">
        <f>'print Basis'!P29</f>
        <v>0.1</v>
      </c>
      <c r="AO34" s="128"/>
      <c r="AP34" s="621" t="e">
        <f>AN34*(AL35*AN35)</f>
        <v>#VALUE!</v>
      </c>
      <c r="AQ34" s="835"/>
      <c r="AR34" s="779"/>
      <c r="AS34" s="20"/>
      <c r="AT34" s="20"/>
      <c r="AU34" s="20"/>
      <c r="BYT34" s="299"/>
      <c r="BYU34" s="299"/>
      <c r="BYV34" s="661"/>
      <c r="BYW34" s="661" t="s">
        <v>73</v>
      </c>
      <c r="BYX34" s="661" t="s">
        <v>97</v>
      </c>
      <c r="BYY34" s="666" t="e">
        <f>AE40*X40*X38</f>
        <v>#N/A</v>
      </c>
      <c r="BYZ34" s="666">
        <f>100*X40*X38</f>
        <v>2.5</v>
      </c>
      <c r="BZA34" s="660"/>
      <c r="BZB34" s="661" t="s">
        <v>97</v>
      </c>
      <c r="BZC34" s="666" t="e">
        <f>AF40*Y40*Y38</f>
        <v>#N/A</v>
      </c>
      <c r="BZD34" s="666">
        <f>Y40*Y38*100</f>
        <v>4.9999999999999991</v>
      </c>
      <c r="BZE34" s="660"/>
      <c r="BZF34" s="661" t="s">
        <v>97</v>
      </c>
      <c r="BZG34" s="666" t="e">
        <f>AG40*Z40*Z38</f>
        <v>#N/A</v>
      </c>
      <c r="BZH34" s="666">
        <f>Z40*Z38*100</f>
        <v>10</v>
      </c>
      <c r="BZI34" s="660"/>
      <c r="BZJ34" s="661" t="s">
        <v>97</v>
      </c>
      <c r="BZK34" s="666" t="e">
        <f>AH40*AA40*AA38</f>
        <v>#N/A</v>
      </c>
      <c r="BZL34" s="666">
        <f>100*AA40*AA38</f>
        <v>10</v>
      </c>
      <c r="BZM34" s="660"/>
      <c r="BZN34" s="661" t="s">
        <v>97</v>
      </c>
      <c r="BZO34" s="666" t="e">
        <f>AI40*AB40*AB38</f>
        <v>#N/A</v>
      </c>
      <c r="BZP34" s="666">
        <f>G40*G38*100</f>
        <v>7.0000000000000009</v>
      </c>
      <c r="BZQ34" s="660"/>
      <c r="BZR34" s="661" t="s">
        <v>97</v>
      </c>
      <c r="BZS34" s="661" t="e">
        <f>AJ40*AC40*AC38</f>
        <v>#N/A</v>
      </c>
      <c r="BZT34" s="661">
        <f>AC40*AC38*100</f>
        <v>2</v>
      </c>
      <c r="BZU34" s="299"/>
      <c r="BZV34" s="661" t="s">
        <v>97</v>
      </c>
      <c r="BZW34" s="661" t="e">
        <f>AK40*AD40*AD38</f>
        <v>#N/A</v>
      </c>
      <c r="BZX34" s="661">
        <f>100*AD40*AD38</f>
        <v>2.4999999999999996</v>
      </c>
      <c r="BZY34" s="299"/>
      <c r="BZZ34" s="280"/>
      <c r="CAA34" s="281" t="str">
        <f t="shared" si="8"/>
        <v>CIberekening</v>
      </c>
      <c r="CAB34" s="283" t="e">
        <f t="shared" si="7"/>
        <v>#N/A</v>
      </c>
      <c r="CAC34" s="284">
        <f t="shared" si="7"/>
        <v>4.9999999999999991</v>
      </c>
    </row>
    <row r="35" spans="1:49 2022:2057" ht="46.2" customHeight="1" x14ac:dyDescent="0.4">
      <c r="A35" s="12"/>
      <c r="B35" s="16">
        <v>1</v>
      </c>
      <c r="C35" s="16">
        <v>1</v>
      </c>
      <c r="D35" s="16">
        <v>1</v>
      </c>
      <c r="E35" s="16">
        <v>1</v>
      </c>
      <c r="F35" s="16">
        <v>1</v>
      </c>
      <c r="G35" s="16">
        <v>1</v>
      </c>
      <c r="H35" s="16"/>
      <c r="I35" s="16"/>
      <c r="J35" s="16"/>
      <c r="K35" s="452" t="s">
        <v>60</v>
      </c>
      <c r="L35" s="549" t="s">
        <v>98</v>
      </c>
      <c r="M35" s="551" t="str">
        <f>IF(N35="","         klik hier op linkermuisknop + selecteer via het pull down menu het gerealiseerd circulaire doel","")</f>
        <v xml:space="preserve">         klik hier op linkermuisknop + selecteer via het pull down menu het gerealiseerd circulaire doel</v>
      </c>
      <c r="N35" s="210"/>
      <c r="O35" s="20"/>
      <c r="P35" s="20"/>
      <c r="Q35" s="20"/>
      <c r="R35" s="20"/>
      <c r="S35" s="20"/>
      <c r="T35" s="20"/>
      <c r="U35" s="20"/>
      <c r="V35" s="128"/>
      <c r="W35" s="7">
        <f t="shared" si="6"/>
        <v>1</v>
      </c>
      <c r="X35" s="26">
        <f>'info weging'!B20</f>
        <v>1</v>
      </c>
      <c r="Y35" s="26">
        <f>'info weging'!C20</f>
        <v>1</v>
      </c>
      <c r="Z35" s="26">
        <f>'info weging'!D20</f>
        <v>1</v>
      </c>
      <c r="AA35" s="26">
        <f>'info weging'!E20</f>
        <v>1</v>
      </c>
      <c r="AB35" s="26">
        <f>'info weging'!F20</f>
        <v>1</v>
      </c>
      <c r="AC35" s="27">
        <f>'info weging'!G20</f>
        <v>1</v>
      </c>
      <c r="AD35" s="27">
        <f>'info weging'!H20</f>
        <v>1</v>
      </c>
      <c r="AE35" s="93" t="e">
        <f>VLOOKUP(N35,'info weging'!$A$36:$H$163,2,FALSE)</f>
        <v>#N/A</v>
      </c>
      <c r="AF35" s="8" t="e">
        <f>VLOOKUP(N35,'info weging'!$A$36:$H$163,3,FALSE)</f>
        <v>#N/A</v>
      </c>
      <c r="AG35" s="8" t="e">
        <f>VLOOKUP(N35,'info weging'!$A$36:$H$163,4,FALSE)</f>
        <v>#N/A</v>
      </c>
      <c r="AH35" s="8" t="e">
        <f>VLOOKUP(N35,'info weging'!$A$36:$H$163,5,FALSE)</f>
        <v>#N/A</v>
      </c>
      <c r="AI35" s="8" t="e">
        <f>VLOOKUP(N35,'info weging'!$A$36:$H$163,6,FALSE)</f>
        <v>#N/A</v>
      </c>
      <c r="AJ35" s="9" t="e">
        <f>VLOOKUP(N35,'info weging'!$A$36:$H$163,7,FALSE)</f>
        <v>#N/A</v>
      </c>
      <c r="AK35" s="9" t="e">
        <f>VLOOKUP(N35,'info weging'!$A$36:$H$163,8,FALSE)</f>
        <v>#N/A</v>
      </c>
      <c r="AL35" s="260" t="str">
        <f>IF(COUNTA(N35)=1,AE35*$AE$15+AF35*$AF$15+AG35*$AG$15+AH35*$AH$15+AI35*$AI$15+AJ35*$AJ$15+AK35*$AK$15,"----")</f>
        <v>----</v>
      </c>
      <c r="AM35" s="128"/>
      <c r="AN35" s="127">
        <f>'print Basis'!P30</f>
        <v>1</v>
      </c>
      <c r="AO35" s="128"/>
      <c r="AP35" s="622"/>
      <c r="AQ35" s="835"/>
      <c r="AR35" s="778"/>
      <c r="AS35" s="20"/>
      <c r="AT35" s="20"/>
      <c r="AU35" s="20"/>
      <c r="BYT35" s="299"/>
      <c r="BYU35" s="299"/>
      <c r="BYV35" s="665" t="s">
        <v>100</v>
      </c>
      <c r="BYW35" s="661" t="s">
        <v>60</v>
      </c>
      <c r="BYX35" s="661" t="s">
        <v>101</v>
      </c>
      <c r="BYY35" s="666" t="e">
        <f>AE42*X42*X41</f>
        <v>#N/A</v>
      </c>
      <c r="BYZ35" s="666">
        <f>100*X42*X41</f>
        <v>2</v>
      </c>
      <c r="BZA35" s="660"/>
      <c r="BZB35" s="661" t="s">
        <v>101</v>
      </c>
      <c r="BZC35" s="666" t="e">
        <f>AF42*Y42*Y41</f>
        <v>#N/A</v>
      </c>
      <c r="BZD35" s="666">
        <f>100*Y42*Y41</f>
        <v>10</v>
      </c>
      <c r="BZE35" s="660"/>
      <c r="BZF35" s="661" t="s">
        <v>101</v>
      </c>
      <c r="BZG35" s="666" t="e">
        <f>AG42*Z42*Z41</f>
        <v>#N/A</v>
      </c>
      <c r="BZH35" s="666">
        <f>100*Z42*Z41</f>
        <v>10</v>
      </c>
      <c r="BZI35" s="660"/>
      <c r="BZJ35" s="661" t="s">
        <v>101</v>
      </c>
      <c r="BZK35" s="666" t="e">
        <f>AH42*AA42*AA41</f>
        <v>#N/A</v>
      </c>
      <c r="BZL35" s="666">
        <f>100*AA42*AA41</f>
        <v>10</v>
      </c>
      <c r="BZM35" s="660"/>
      <c r="BZN35" s="661" t="s">
        <v>101</v>
      </c>
      <c r="BZO35" s="666" t="e">
        <f>AI42*AB42*AB41</f>
        <v>#N/A</v>
      </c>
      <c r="BZP35" s="666">
        <f>100*G42*G41</f>
        <v>5</v>
      </c>
      <c r="BZQ35" s="660"/>
      <c r="BZR35" s="661" t="s">
        <v>101</v>
      </c>
      <c r="BZS35" s="661" t="e">
        <f>AJ42*AC42*AC41</f>
        <v>#N/A</v>
      </c>
      <c r="BZT35" s="661">
        <f>100*AC42*AC41</f>
        <v>10</v>
      </c>
      <c r="BZU35" s="299"/>
      <c r="BZV35" s="661" t="s">
        <v>101</v>
      </c>
      <c r="BZW35" s="661" t="e">
        <f>AK42*AD42*AD41</f>
        <v>#N/A</v>
      </c>
      <c r="BZX35" s="661">
        <f>100*AD42*AD41</f>
        <v>12.5</v>
      </c>
      <c r="BZY35" s="299"/>
      <c r="BZZ35" s="280"/>
      <c r="CAA35" s="281" t="str">
        <f t="shared" si="8"/>
        <v>CO2berekening</v>
      </c>
      <c r="CAB35" s="283" t="e">
        <f t="shared" si="7"/>
        <v>#N/A</v>
      </c>
      <c r="CAC35" s="284">
        <f t="shared" si="7"/>
        <v>10</v>
      </c>
    </row>
    <row r="36" spans="1:49 2022:2057" ht="21" customHeight="1" x14ac:dyDescent="0.4">
      <c r="A36" s="12"/>
      <c r="B36" s="15">
        <v>0.1</v>
      </c>
      <c r="C36" s="15">
        <v>0.11</v>
      </c>
      <c r="D36" s="15">
        <v>0.1</v>
      </c>
      <c r="E36" s="15">
        <v>0.14000000000000001</v>
      </c>
      <c r="F36" s="15">
        <v>0.15</v>
      </c>
      <c r="G36" s="15">
        <v>0.2</v>
      </c>
      <c r="H36" s="15"/>
      <c r="I36" s="15"/>
      <c r="J36" s="15"/>
      <c r="K36" s="86">
        <v>6</v>
      </c>
      <c r="L36" s="45" t="s">
        <v>102</v>
      </c>
      <c r="M36" s="42"/>
      <c r="N36" s="242"/>
      <c r="O36" s="20"/>
      <c r="P36" s="20"/>
      <c r="Q36" s="20"/>
      <c r="R36" s="20"/>
      <c r="S36" s="20"/>
      <c r="T36" s="20"/>
      <c r="U36" s="20">
        <v>6</v>
      </c>
      <c r="V36" s="128"/>
      <c r="W36" s="7">
        <f t="shared" si="6"/>
        <v>7.0000000000000007E-2</v>
      </c>
      <c r="X36" s="22">
        <f>'info weging'!B21</f>
        <v>0.05</v>
      </c>
      <c r="Y36" s="22">
        <f>'info weging'!C21</f>
        <v>7.0000000000000007E-2</v>
      </c>
      <c r="Z36" s="22">
        <f>'info weging'!D21</f>
        <v>0.13</v>
      </c>
      <c r="AA36" s="22">
        <f>'info weging'!E21</f>
        <v>0.15</v>
      </c>
      <c r="AB36" s="22">
        <f>'info weging'!F21</f>
        <v>0.15</v>
      </c>
      <c r="AC36" s="23">
        <f>'info weging'!G21</f>
        <v>0.2</v>
      </c>
      <c r="AD36" s="23">
        <f>'info weging'!H21</f>
        <v>0.125</v>
      </c>
      <c r="AE36" s="76"/>
      <c r="AF36" s="66"/>
      <c r="AG36" s="66"/>
      <c r="AH36" s="66"/>
      <c r="AI36" s="66"/>
      <c r="AJ36" s="67"/>
      <c r="AK36" s="67"/>
      <c r="AL36" s="263"/>
      <c r="AM36" s="128"/>
      <c r="AN36" s="201">
        <f>'print Basis'!P31</f>
        <v>7.0000000000000007E-2</v>
      </c>
      <c r="AO36" s="128"/>
      <c r="AP36" s="621" t="e">
        <f>AN36*(AL37*AN37)</f>
        <v>#VALUE!</v>
      </c>
      <c r="AQ36" s="835"/>
      <c r="AR36" s="779"/>
      <c r="AS36" s="20"/>
      <c r="AT36" s="20"/>
      <c r="AU36" s="20"/>
      <c r="BYT36" s="299"/>
      <c r="BYU36" s="299"/>
      <c r="BYV36" s="661"/>
      <c r="BYW36" s="661"/>
      <c r="BYX36" s="661" t="s">
        <v>103</v>
      </c>
      <c r="BYY36" s="666" t="e">
        <f>100-BYY37</f>
        <v>#N/A</v>
      </c>
      <c r="BYZ36" s="661">
        <v>0</v>
      </c>
      <c r="BZA36" s="660"/>
      <c r="BZB36" s="661" t="s">
        <v>103</v>
      </c>
      <c r="BZC36" s="666" t="e">
        <f>100-BZC37</f>
        <v>#N/A</v>
      </c>
      <c r="BZD36" s="661">
        <v>0</v>
      </c>
      <c r="BZE36" s="660"/>
      <c r="BZF36" s="661" t="s">
        <v>103</v>
      </c>
      <c r="BZG36" s="666" t="e">
        <f>100-BZG37</f>
        <v>#N/A</v>
      </c>
      <c r="BZH36" s="661">
        <v>0</v>
      </c>
      <c r="BZI36" s="660"/>
      <c r="BZJ36" s="661" t="s">
        <v>103</v>
      </c>
      <c r="BZK36" s="666" t="e">
        <f>100-BZK37</f>
        <v>#N/A</v>
      </c>
      <c r="BZL36" s="661">
        <v>0</v>
      </c>
      <c r="BZM36" s="660"/>
      <c r="BZN36" s="661" t="s">
        <v>103</v>
      </c>
      <c r="BZO36" s="666" t="e">
        <f>100-BZO37</f>
        <v>#N/A</v>
      </c>
      <c r="BZP36" s="661">
        <v>0</v>
      </c>
      <c r="BZQ36" s="660"/>
      <c r="BZR36" s="661" t="s">
        <v>103</v>
      </c>
      <c r="BZS36" s="666" t="e">
        <f>100-BZS37</f>
        <v>#N/A</v>
      </c>
      <c r="BZT36" s="661">
        <v>0</v>
      </c>
      <c r="BZU36" s="299"/>
      <c r="BZV36" s="661" t="s">
        <v>103</v>
      </c>
      <c r="BZW36" s="666" t="e">
        <f>100-BZW37</f>
        <v>#N/A</v>
      </c>
      <c r="BZX36" s="661">
        <v>0</v>
      </c>
      <c r="BZY36" s="299"/>
      <c r="BZZ36" s="280"/>
      <c r="CAA36" t="s">
        <v>321</v>
      </c>
      <c r="CAB36" s="725">
        <f>AP44</f>
        <v>0</v>
      </c>
    </row>
    <row r="37" spans="1:49 2022:2057" ht="40.200000000000003" customHeight="1" x14ac:dyDescent="0.4">
      <c r="A37" s="12"/>
      <c r="B37" s="16">
        <v>1</v>
      </c>
      <c r="C37" s="16">
        <v>1</v>
      </c>
      <c r="D37" s="16">
        <v>1</v>
      </c>
      <c r="E37" s="16">
        <v>1</v>
      </c>
      <c r="F37" s="16">
        <v>1</v>
      </c>
      <c r="G37" s="16">
        <v>1</v>
      </c>
      <c r="H37" s="16"/>
      <c r="I37" s="16"/>
      <c r="J37" s="16"/>
      <c r="K37" s="452" t="s">
        <v>60</v>
      </c>
      <c r="L37" s="549" t="s">
        <v>104</v>
      </c>
      <c r="M37" s="551" t="str">
        <f>IF(N37="","         klik hier op linkermuisknop + selecteer via het pull down menu het gerealiseerd circulaire doel","")</f>
        <v xml:space="preserve">         klik hier op linkermuisknop + selecteer via het pull down menu het gerealiseerd circulaire doel</v>
      </c>
      <c r="N37" s="210"/>
      <c r="O37" s="20"/>
      <c r="P37" s="20"/>
      <c r="Q37" s="20"/>
      <c r="R37" s="20"/>
      <c r="S37" s="20"/>
      <c r="T37" s="20"/>
      <c r="U37" s="20"/>
      <c r="V37" s="128"/>
      <c r="W37" s="7">
        <f t="shared" si="6"/>
        <v>1</v>
      </c>
      <c r="X37" s="26">
        <f>'info weging'!B22</f>
        <v>1</v>
      </c>
      <c r="Y37" s="26">
        <f>'info weging'!C22</f>
        <v>1</v>
      </c>
      <c r="Z37" s="26">
        <f>'info weging'!D22</f>
        <v>1</v>
      </c>
      <c r="AA37" s="26">
        <f>'info weging'!E22</f>
        <v>1</v>
      </c>
      <c r="AB37" s="26">
        <f>'info weging'!F22</f>
        <v>1</v>
      </c>
      <c r="AC37" s="27">
        <f>'info weging'!G22</f>
        <v>1</v>
      </c>
      <c r="AD37" s="27">
        <f>'info weging'!H22</f>
        <v>1</v>
      </c>
      <c r="AE37" s="98" t="e">
        <f>VLOOKUP(N37,'info weging'!$A$36:$H$163,2,FALSE)</f>
        <v>#N/A</v>
      </c>
      <c r="AF37" s="8" t="e">
        <f>VLOOKUP(N37,'info weging'!$A$36:$H$163,3,FALSE)</f>
        <v>#N/A</v>
      </c>
      <c r="AG37" s="8" t="e">
        <f>VLOOKUP(N37,'info weging'!$A$36:$H$163,4,FALSE)</f>
        <v>#N/A</v>
      </c>
      <c r="AH37" s="8" t="e">
        <f>VLOOKUP(N37,'info weging'!$A$36:$H$163,5,FALSE)</f>
        <v>#N/A</v>
      </c>
      <c r="AI37" s="8" t="e">
        <f>VLOOKUP(N37,'info weging'!$A$36:$H$163,6,FALSE)</f>
        <v>#N/A</v>
      </c>
      <c r="AJ37" s="9" t="e">
        <f>VLOOKUP(N37,'info weging'!$A$36:$H$163,7,FALSE)</f>
        <v>#N/A</v>
      </c>
      <c r="AK37" s="9" t="e">
        <f>VLOOKUP(N37,'info weging'!$A$36:$H$163,8,FALSE)</f>
        <v>#N/A</v>
      </c>
      <c r="AL37" s="260" t="str">
        <f>IF(COUNTA(N37)=1,AE37*$AE$15+AF37*$AF$15+AG37*$AG$15+AH37*$AH$15+AI37*$AI$15+AJ37*$AJ$15+AK37*$AK$15,"----")</f>
        <v>----</v>
      </c>
      <c r="AM37" s="128"/>
      <c r="AN37" s="127">
        <f>'print Basis'!P32</f>
        <v>1</v>
      </c>
      <c r="AO37" s="128"/>
      <c r="AP37" s="622"/>
      <c r="AQ37" s="835"/>
      <c r="AR37" s="778"/>
      <c r="AS37" s="20"/>
      <c r="AT37" s="20"/>
      <c r="AU37" s="20"/>
      <c r="BYT37" s="299"/>
      <c r="BYU37" s="299"/>
      <c r="BYV37" s="661"/>
      <c r="BYW37" s="661"/>
      <c r="BYX37" s="661" t="s">
        <v>106</v>
      </c>
      <c r="BYY37" s="666" t="e">
        <f>SUM(BYY24:BYY35)</f>
        <v>#N/A</v>
      </c>
      <c r="BYZ37" s="666">
        <f>SUM(BYZ24:BYZ36)</f>
        <v>100</v>
      </c>
      <c r="BZA37" s="660"/>
      <c r="BZB37" s="660" t="s">
        <v>106</v>
      </c>
      <c r="BZC37" s="666" t="e">
        <f>SUM(BZC24:BZC35)</f>
        <v>#N/A</v>
      </c>
      <c r="BZD37" s="666">
        <f>SUM(BZD24:BZD36)</f>
        <v>100</v>
      </c>
      <c r="BZE37" s="660"/>
      <c r="BZF37" s="660" t="s">
        <v>106</v>
      </c>
      <c r="BZG37" s="666" t="e">
        <f>SUM(BZG24:BZG35)</f>
        <v>#N/A</v>
      </c>
      <c r="BZH37" s="666">
        <f>SUM(BZH24:BZH36)</f>
        <v>100</v>
      </c>
      <c r="BZI37" s="660"/>
      <c r="BZJ37" s="660" t="s">
        <v>106</v>
      </c>
      <c r="BZK37" s="666" t="e">
        <f>SUM(BZK24:BZK35)</f>
        <v>#N/A</v>
      </c>
      <c r="BZL37" s="666">
        <f>SUM(BZL24:BZL36)</f>
        <v>100</v>
      </c>
      <c r="BZM37" s="660"/>
      <c r="BZN37" s="660" t="s">
        <v>106</v>
      </c>
      <c r="BZO37" s="666" t="e">
        <f>SUM(BZO24:BZO35)</f>
        <v>#N/A</v>
      </c>
      <c r="BZP37" s="666" t="e">
        <f>SUM(#REF!)</f>
        <v>#REF!</v>
      </c>
      <c r="BZQ37" s="660"/>
      <c r="BZR37" s="660" t="s">
        <v>106</v>
      </c>
      <c r="BZS37" s="666" t="e">
        <f>SUM(BZS24:BZS35)</f>
        <v>#N/A</v>
      </c>
      <c r="BZT37" s="666">
        <f>SUM(BZT24:BZT36)</f>
        <v>100</v>
      </c>
      <c r="BZU37" s="299"/>
      <c r="BZV37" s="660" t="s">
        <v>106</v>
      </c>
      <c r="BZW37" s="666" t="e">
        <f>SUM(BZW24:BZW35)</f>
        <v>#N/A</v>
      </c>
      <c r="BZX37" s="666">
        <f>SUM(BZX24:BZX36)</f>
        <v>100</v>
      </c>
      <c r="BZY37" s="299"/>
      <c r="BZZ37" s="280"/>
      <c r="CAA37" s="281" t="str">
        <f>BZV36</f>
        <v>rest</v>
      </c>
      <c r="CAB37" s="738" t="e">
        <f>BYY36*$BYY$15+BZC36*$BZC$15+BZG36*$BZG$15+BZK36*$BZK$15+BZO36*$BZO$15+BZS36*$BZS$15+BZW36*$BZW$15-CAB36</f>
        <v>#N/A</v>
      </c>
      <c r="CAC37" s="284">
        <f>BYZ36*$BYY$15+BZD36*$BZC$15+BZH36*$BZG$15+BZL36*$BZK$15+BZP36*$BZO$15+BZT36*$BZS$15+BZX36*$BZW$15</f>
        <v>0</v>
      </c>
    </row>
    <row r="38" spans="1:49 2022:2057" ht="21" customHeight="1" x14ac:dyDescent="0.4">
      <c r="A38" s="12"/>
      <c r="B38" s="15">
        <v>0.15</v>
      </c>
      <c r="C38" s="15">
        <v>0.18</v>
      </c>
      <c r="D38" s="15">
        <v>0.15</v>
      </c>
      <c r="E38" s="15">
        <v>0.13</v>
      </c>
      <c r="F38" s="15">
        <v>0.125</v>
      </c>
      <c r="G38" s="15">
        <v>0.14000000000000001</v>
      </c>
      <c r="H38" s="15"/>
      <c r="I38" s="15"/>
      <c r="J38" s="15"/>
      <c r="K38" s="87">
        <v>7</v>
      </c>
      <c r="L38" s="51" t="s">
        <v>354</v>
      </c>
      <c r="M38" s="52"/>
      <c r="N38" s="243"/>
      <c r="O38" s="20"/>
      <c r="P38" s="20"/>
      <c r="Q38" s="20"/>
      <c r="R38" s="20"/>
      <c r="S38" s="20"/>
      <c r="T38" s="20"/>
      <c r="U38" s="20">
        <v>7</v>
      </c>
      <c r="V38" s="128"/>
      <c r="W38" s="7">
        <f t="shared" si="6"/>
        <v>0.25</v>
      </c>
      <c r="X38" s="22">
        <f>'info weging'!B23</f>
        <v>0.05</v>
      </c>
      <c r="Y38" s="22">
        <f>'info weging'!C23</f>
        <v>0.25</v>
      </c>
      <c r="Z38" s="22">
        <f>'info weging'!D23</f>
        <v>0.2</v>
      </c>
      <c r="AA38" s="22">
        <f>'info weging'!E23</f>
        <v>0.2</v>
      </c>
      <c r="AB38" s="22">
        <f>'info weging'!F23</f>
        <v>0.2</v>
      </c>
      <c r="AC38" s="23">
        <f>'info weging'!G23</f>
        <v>0.04</v>
      </c>
      <c r="AD38" s="23">
        <f>'info weging'!H23</f>
        <v>0.125</v>
      </c>
      <c r="AE38" s="77"/>
      <c r="AF38" s="62"/>
      <c r="AG38" s="62"/>
      <c r="AH38" s="62"/>
      <c r="AI38" s="62"/>
      <c r="AJ38" s="63"/>
      <c r="AK38" s="63"/>
      <c r="AL38" s="264"/>
      <c r="AM38" s="128"/>
      <c r="AN38" s="201">
        <f>'print Basis'!P33</f>
        <v>0.25</v>
      </c>
      <c r="AO38" s="128"/>
      <c r="AP38" s="621" t="e">
        <f>AN38*(AL39*AN39+AL40*AN40)</f>
        <v>#VALUE!</v>
      </c>
      <c r="AQ38" s="835"/>
      <c r="AR38" s="779"/>
      <c r="AS38" s="20"/>
      <c r="AT38" s="20"/>
      <c r="AU38" s="20"/>
      <c r="BYT38" s="299"/>
      <c r="BYU38" s="299"/>
      <c r="BYV38" s="299"/>
      <c r="BYW38" s="299"/>
      <c r="BYX38" s="299"/>
      <c r="BYY38" s="662"/>
      <c r="BYZ38" s="662"/>
      <c r="BZA38" s="663"/>
      <c r="BZB38" s="663"/>
      <c r="BZC38" s="662"/>
      <c r="BZD38" s="662"/>
      <c r="BZE38" s="663"/>
      <c r="BZF38" s="662"/>
      <c r="BZG38" s="662"/>
      <c r="BZH38" s="662"/>
      <c r="BZI38" s="663"/>
      <c r="BZJ38" s="662"/>
      <c r="BZK38" s="662"/>
      <c r="BZL38" s="662"/>
      <c r="BZM38" s="663"/>
      <c r="BZN38" s="662"/>
      <c r="BZO38" s="662"/>
      <c r="BZP38" s="662"/>
      <c r="BZQ38" s="663"/>
      <c r="BZR38" s="299"/>
      <c r="BZS38" s="299"/>
      <c r="BZT38" s="299"/>
      <c r="BZU38" s="299"/>
      <c r="BZV38" s="299"/>
      <c r="BZW38" s="299"/>
      <c r="BZX38" s="299"/>
      <c r="BZY38" s="299"/>
      <c r="BZZ38" s="280"/>
      <c r="CAA38" s="281" t="str">
        <f>BZV37</f>
        <v>totaal</v>
      </c>
      <c r="CAB38" s="283" t="e">
        <f>AP44+BYY37*$BYY$15+BZC37*$BZC$15+BZG37*$BZG$15+BZK37*$BZK$15+BZO37*$BZO$15+BZS37*$BZS$15+BZW37*$BZW$15</f>
        <v>#N/A</v>
      </c>
      <c r="CAC38" s="284" t="e">
        <f>BYZ37*$BYY$15+BZD37*$BZC$15+BZH37*$BZG$15+BZL37*$BZK$15+BZP37*$BZO$15+BZT37*$BZS$15+BZX37*$BZW$15</f>
        <v>#REF!</v>
      </c>
    </row>
    <row r="39" spans="1:49 2022:2057" ht="40.200000000000003" customHeight="1" x14ac:dyDescent="0.4">
      <c r="A39" s="12"/>
      <c r="B39" s="16">
        <v>0.5</v>
      </c>
      <c r="C39" s="16">
        <v>0.5</v>
      </c>
      <c r="D39" s="16">
        <v>0.5</v>
      </c>
      <c r="E39" s="16">
        <v>0.5</v>
      </c>
      <c r="F39" s="16">
        <v>0.5</v>
      </c>
      <c r="G39" s="16">
        <v>0.5</v>
      </c>
      <c r="H39" s="16"/>
      <c r="I39" s="16"/>
      <c r="J39" s="237" t="e">
        <f>BZJ53</f>
        <v>#N/A</v>
      </c>
      <c r="K39" s="452" t="s">
        <v>60</v>
      </c>
      <c r="L39" s="549" t="s">
        <v>108</v>
      </c>
      <c r="M39" s="551" t="str">
        <f>IF(N39="","         klik hier op linkermuisknop + selecteer via het pull down menu het gerealiseerd circulaire doel","")</f>
        <v xml:space="preserve">         klik hier op linkermuisknop + selecteer via het pull down menu het gerealiseerd circulaire doel</v>
      </c>
      <c r="N39" s="210"/>
      <c r="O39" s="20"/>
      <c r="P39" s="20"/>
      <c r="Q39" s="20"/>
      <c r="R39" s="20"/>
      <c r="S39" s="20"/>
      <c r="T39" s="20"/>
      <c r="U39" s="20"/>
      <c r="V39" s="128"/>
      <c r="W39" s="7">
        <f t="shared" si="6"/>
        <v>0.8</v>
      </c>
      <c r="X39" s="26">
        <f>'info weging'!B24</f>
        <v>0.5</v>
      </c>
      <c r="Y39" s="26">
        <f>'info weging'!C24</f>
        <v>0.8</v>
      </c>
      <c r="Z39" s="26">
        <f>'info weging'!D24</f>
        <v>0.5</v>
      </c>
      <c r="AA39" s="26">
        <f>'info weging'!E24</f>
        <v>0.5</v>
      </c>
      <c r="AB39" s="26">
        <f>'info weging'!F24</f>
        <v>0.5</v>
      </c>
      <c r="AC39" s="27">
        <f>'info weging'!G24</f>
        <v>0.5</v>
      </c>
      <c r="AD39" s="27">
        <f>'info weging'!H24</f>
        <v>0.8</v>
      </c>
      <c r="AE39" s="106" t="e">
        <f>VLOOKUP(N39,'info weging'!$A$36:$H$163,2,FALSE)</f>
        <v>#N/A</v>
      </c>
      <c r="AF39" s="8" t="e">
        <f>VLOOKUP(N39,'info weging'!$A$36:$H$163,3,FALSE)</f>
        <v>#N/A</v>
      </c>
      <c r="AG39" s="8" t="e">
        <f>VLOOKUP(N39,'info weging'!$A$36:$H$163,4,FALSE)</f>
        <v>#N/A</v>
      </c>
      <c r="AH39" s="8" t="e">
        <f>VLOOKUP(N39,'info weging'!$A$36:$H$163,5,FALSE)</f>
        <v>#N/A</v>
      </c>
      <c r="AI39" s="8" t="e">
        <f>VLOOKUP(N39,'info weging'!$A$36:$H$163,6,FALSE)</f>
        <v>#N/A</v>
      </c>
      <c r="AJ39" s="9" t="e">
        <f>VLOOKUP(N39,'info weging'!$A$36:$H$163,7,FALSE)</f>
        <v>#N/A</v>
      </c>
      <c r="AK39" s="9" t="e">
        <f>VLOOKUP(N39,'info weging'!$A$36:$H$163,8,FALSE)</f>
        <v>#N/A</v>
      </c>
      <c r="AL39" s="260" t="str">
        <f>IF(COUNTA(N39)=1,AE39*$AE$15+AF39*$AF$15+AG39*$AG$15+AH39*$AH$15+AI39*$AI$15+AJ39*$AJ$15+AK39*$AK$15,"----")</f>
        <v>----</v>
      </c>
      <c r="AM39" s="128"/>
      <c r="AN39" s="127">
        <f>'print Basis'!P34</f>
        <v>0.8</v>
      </c>
      <c r="AO39" s="128"/>
      <c r="AP39" s="622"/>
      <c r="AQ39" s="835"/>
      <c r="AR39" s="778" t="s">
        <v>93</v>
      </c>
      <c r="AS39" s="20"/>
      <c r="AT39" s="20"/>
      <c r="AU39" s="20"/>
      <c r="BYT39" s="299"/>
      <c r="BYU39" s="299"/>
      <c r="BYV39" s="299"/>
      <c r="BYW39" s="299"/>
      <c r="BYX39" s="299"/>
      <c r="BYY39" s="299"/>
      <c r="BYZ39" s="299"/>
      <c r="BZA39" s="299"/>
      <c r="BZB39" s="299"/>
      <c r="BZC39" s="299"/>
      <c r="BZD39" s="299"/>
      <c r="BZE39" s="299"/>
      <c r="BZF39" s="299"/>
      <c r="BZG39" s="299"/>
      <c r="BZH39" s="299"/>
      <c r="BZI39" s="299"/>
      <c r="BZJ39" s="299"/>
      <c r="BZK39" s="299"/>
      <c r="BZL39" s="299"/>
      <c r="BZM39" s="299"/>
      <c r="BZN39" s="299"/>
      <c r="BZO39" s="299"/>
      <c r="BZP39" s="299"/>
      <c r="BZQ39" s="299"/>
      <c r="BZR39" s="299"/>
      <c r="BZS39" s="299"/>
      <c r="BZT39" s="299"/>
      <c r="BZU39" s="299"/>
      <c r="BZV39" s="299"/>
      <c r="BZW39" s="299"/>
      <c r="BZX39" s="299"/>
      <c r="BZY39" s="299"/>
      <c r="BZZ39" s="280"/>
      <c r="CAA39" s="281"/>
      <c r="CAB39" s="281"/>
      <c r="CAC39" s="282"/>
    </row>
    <row r="40" spans="1:49 2022:2057" ht="40.200000000000003" customHeight="1" x14ac:dyDescent="0.4">
      <c r="A40" s="12"/>
      <c r="B40" s="16">
        <f>1-B39</f>
        <v>0.5</v>
      </c>
      <c r="C40" s="16">
        <f t="shared" ref="C40:G40" si="10">1-C39</f>
        <v>0.5</v>
      </c>
      <c r="D40" s="16">
        <f t="shared" si="10"/>
        <v>0.5</v>
      </c>
      <c r="E40" s="16">
        <f t="shared" si="10"/>
        <v>0.5</v>
      </c>
      <c r="F40" s="16">
        <f t="shared" si="10"/>
        <v>0.5</v>
      </c>
      <c r="G40" s="16">
        <f t="shared" si="10"/>
        <v>0.5</v>
      </c>
      <c r="H40" s="16"/>
      <c r="I40" s="16"/>
      <c r="J40" s="16"/>
      <c r="K40" s="452" t="s">
        <v>73</v>
      </c>
      <c r="L40" s="549" t="s">
        <v>110</v>
      </c>
      <c r="M40" s="551" t="str">
        <f>IF(N40="","         klik hier op linkermuisknop + selecteer via het pull down menu het gerealiseerd circulaire doel","")</f>
        <v xml:space="preserve">         klik hier op linkermuisknop + selecteer via het pull down menu het gerealiseerd circulaire doel</v>
      </c>
      <c r="N40" s="210"/>
      <c r="O40" s="20"/>
      <c r="P40" s="20"/>
      <c r="Q40" s="20"/>
      <c r="R40" s="20"/>
      <c r="S40" s="20"/>
      <c r="T40" s="20"/>
      <c r="U40" s="20"/>
      <c r="V40" s="128"/>
      <c r="W40" s="7">
        <f t="shared" si="6"/>
        <v>0.19999999999999996</v>
      </c>
      <c r="X40" s="26">
        <f>'info weging'!B25</f>
        <v>0.5</v>
      </c>
      <c r="Y40" s="26">
        <f>'info weging'!C25</f>
        <v>0.19999999999999996</v>
      </c>
      <c r="Z40" s="26">
        <f>'info weging'!D25</f>
        <v>0.5</v>
      </c>
      <c r="AA40" s="26">
        <f>'info weging'!E25</f>
        <v>0.5</v>
      </c>
      <c r="AB40" s="26">
        <f>'info weging'!F25</f>
        <v>0.5</v>
      </c>
      <c r="AC40" s="27">
        <f>'info weging'!G25</f>
        <v>0.5</v>
      </c>
      <c r="AD40" s="27">
        <f>'info weging'!H25</f>
        <v>0.19999999999999996</v>
      </c>
      <c r="AE40" s="106" t="e">
        <f>VLOOKUP(N40,'info weging'!$A$36:$H$163,2,FALSE)</f>
        <v>#N/A</v>
      </c>
      <c r="AF40" s="8" t="e">
        <f>VLOOKUP(N40,'info weging'!$A$36:$H$163,3,FALSE)</f>
        <v>#N/A</v>
      </c>
      <c r="AG40" s="8" t="e">
        <f>VLOOKUP(N40,'info weging'!$A$36:$H$163,4,FALSE)</f>
        <v>#N/A</v>
      </c>
      <c r="AH40" s="8" t="e">
        <f>VLOOKUP(N40,'info weging'!$A$36:$H$163,5,FALSE)</f>
        <v>#N/A</v>
      </c>
      <c r="AI40" s="8" t="e">
        <f>VLOOKUP(N40,'info weging'!$A$36:$H$163,6,FALSE)</f>
        <v>#N/A</v>
      </c>
      <c r="AJ40" s="9" t="e">
        <f>VLOOKUP(N40,'info weging'!$A$36:$H$163,7,FALSE)</f>
        <v>#N/A</v>
      </c>
      <c r="AK40" s="9" t="e">
        <f>VLOOKUP(N40,'info weging'!$A$36:$H$163,8,FALSE)</f>
        <v>#N/A</v>
      </c>
      <c r="AL40" s="260" t="str">
        <f>IF(COUNTA(N40)=1,AE40*$AE$15+AF40*$AF$15+AG40*$AG$15+AH40*$AH$15+AI40*$AI$15+AJ40*$AJ$15+AK40*$AK$15,"----")</f>
        <v>----</v>
      </c>
      <c r="AM40" s="128"/>
      <c r="AN40" s="127">
        <f>'print Basis'!P35</f>
        <v>0.19999999999999996</v>
      </c>
      <c r="AO40" s="128"/>
      <c r="AP40" s="622"/>
      <c r="AQ40" s="835"/>
      <c r="AR40" s="778"/>
      <c r="AS40" s="20"/>
      <c r="AT40" s="20"/>
      <c r="AU40" s="20"/>
      <c r="BYT40" s="299"/>
      <c r="BYU40" s="299"/>
      <c r="BYV40" s="299"/>
      <c r="BYW40" s="299"/>
      <c r="BYX40" s="299"/>
      <c r="BYY40" s="299"/>
      <c r="BYZ40" s="299"/>
      <c r="BZA40" s="299"/>
      <c r="BZB40" s="299"/>
      <c r="BZC40" s="299"/>
      <c r="BZD40" s="299"/>
      <c r="BZE40" s="299"/>
      <c r="BZF40" s="299"/>
      <c r="BZG40" s="299"/>
      <c r="BZH40" s="299"/>
      <c r="BZI40" s="299"/>
      <c r="BZJ40" s="299"/>
      <c r="BZK40" s="299"/>
      <c r="BZL40" s="299"/>
      <c r="BZM40" s="299"/>
      <c r="BZN40" s="299"/>
      <c r="BZO40" s="299"/>
      <c r="BZP40" s="299"/>
      <c r="BZQ40" s="299"/>
      <c r="BZR40" s="299"/>
      <c r="BZS40" s="299"/>
      <c r="BZT40" s="299"/>
      <c r="BZU40" s="299"/>
      <c r="BZV40" s="299"/>
      <c r="BZW40" s="299"/>
      <c r="BZX40" s="299"/>
      <c r="BZY40" s="299"/>
      <c r="BZZ40" s="280"/>
      <c r="CAA40" s="281"/>
      <c r="CAB40" s="281"/>
      <c r="CAC40" s="282"/>
    </row>
    <row r="41" spans="1:49 2022:2057" ht="21" customHeight="1" x14ac:dyDescent="0.4">
      <c r="A41" s="12"/>
      <c r="B41" s="15">
        <v>0.01</v>
      </c>
      <c r="C41" s="15">
        <v>0.05</v>
      </c>
      <c r="D41" s="15">
        <v>0.05</v>
      </c>
      <c r="E41" s="15">
        <v>0.05</v>
      </c>
      <c r="F41" s="15">
        <v>0.05</v>
      </c>
      <c r="G41" s="15">
        <v>0.05</v>
      </c>
      <c r="H41" s="15"/>
      <c r="I41" s="15"/>
      <c r="J41" s="15"/>
      <c r="K41" s="88">
        <v>8</v>
      </c>
      <c r="L41" s="46" t="s">
        <v>111</v>
      </c>
      <c r="M41" s="43"/>
      <c r="N41" s="244"/>
      <c r="O41" s="20"/>
      <c r="P41" s="20"/>
      <c r="Q41" s="20"/>
      <c r="R41" s="20"/>
      <c r="S41" s="20"/>
      <c r="T41" s="20"/>
      <c r="U41" s="20">
        <v>8</v>
      </c>
      <c r="V41" s="128"/>
      <c r="W41" s="7">
        <f t="shared" si="6"/>
        <v>0.1</v>
      </c>
      <c r="X41" s="22">
        <f>'info weging'!B26</f>
        <v>0.02</v>
      </c>
      <c r="Y41" s="22">
        <f>'info weging'!C26</f>
        <v>0.1</v>
      </c>
      <c r="Z41" s="22">
        <f>'info weging'!D26</f>
        <v>0.1</v>
      </c>
      <c r="AA41" s="22">
        <f>'info weging'!E26</f>
        <v>0.1</v>
      </c>
      <c r="AB41" s="22">
        <f>'info weging'!F26</f>
        <v>0.1</v>
      </c>
      <c r="AC41" s="23">
        <f>'info weging'!G26</f>
        <v>0.1</v>
      </c>
      <c r="AD41" s="23">
        <f>'info weging'!H26</f>
        <v>0.125</v>
      </c>
      <c r="AE41" s="78"/>
      <c r="AF41" s="64"/>
      <c r="AG41" s="64"/>
      <c r="AH41" s="64"/>
      <c r="AI41" s="64"/>
      <c r="AJ41" s="65"/>
      <c r="AK41" s="65"/>
      <c r="AL41" s="265"/>
      <c r="AM41" s="203"/>
      <c r="AN41" s="201">
        <f>'print Basis'!P36</f>
        <v>0.1</v>
      </c>
      <c r="AO41" s="128"/>
      <c r="AP41" s="621" t="e">
        <f>AN41*(AL42*AN42)</f>
        <v>#VALUE!</v>
      </c>
      <c r="AQ41" s="835"/>
      <c r="AR41" s="779"/>
      <c r="AS41" s="20"/>
      <c r="AT41" s="20"/>
      <c r="AU41" s="20"/>
      <c r="BYT41" s="299"/>
      <c r="BYU41" s="299"/>
      <c r="BYV41" s="299"/>
      <c r="BYW41" s="299"/>
      <c r="BYX41" s="299"/>
      <c r="BYY41" s="662"/>
      <c r="BYZ41" s="662"/>
      <c r="BZA41" s="663"/>
      <c r="BZB41" s="663"/>
      <c r="BZC41" s="662"/>
      <c r="BZD41" s="662"/>
      <c r="BZE41" s="663"/>
      <c r="BZF41" s="662"/>
      <c r="BZG41" s="662"/>
      <c r="BZH41" s="662"/>
      <c r="BZI41" s="663"/>
      <c r="BZJ41" s="662"/>
      <c r="BZK41" s="662"/>
      <c r="BZL41" s="662"/>
      <c r="BZM41" s="663"/>
      <c r="BZN41" s="662"/>
      <c r="BZO41" s="662"/>
      <c r="BZP41" s="662"/>
      <c r="BZQ41" s="663"/>
      <c r="BZR41" s="299"/>
      <c r="BZS41" s="299"/>
      <c r="BZT41" s="299"/>
      <c r="BZU41" s="299"/>
      <c r="BZV41" s="299"/>
      <c r="BZW41" s="299"/>
      <c r="BZX41" s="299"/>
      <c r="BZY41" s="299"/>
      <c r="BZZ41" s="280"/>
      <c r="CAA41" s="281"/>
      <c r="CAB41" s="281"/>
      <c r="CAC41" s="282"/>
    </row>
    <row r="42" spans="1:49 2022:2057" ht="40.200000000000003" customHeight="1" x14ac:dyDescent="0.4">
      <c r="A42" s="12"/>
      <c r="B42" s="16">
        <v>1</v>
      </c>
      <c r="C42" s="16">
        <v>1</v>
      </c>
      <c r="D42" s="16">
        <v>1</v>
      </c>
      <c r="E42" s="16">
        <v>1</v>
      </c>
      <c r="F42" s="16">
        <v>1</v>
      </c>
      <c r="G42" s="16">
        <v>1</v>
      </c>
      <c r="H42" s="16"/>
      <c r="I42" s="16"/>
      <c r="J42" s="16"/>
      <c r="K42" s="452" t="s">
        <v>60</v>
      </c>
      <c r="L42" s="549" t="s">
        <v>305</v>
      </c>
      <c r="M42" s="551" t="str">
        <f>IF(N42="","         klik hier op linkermuisknop + selecteer via het pull down menu het gerealiseerd circulaire doel","")</f>
        <v xml:space="preserve">         klik hier op linkermuisknop + selecteer via het pull down menu het gerealiseerd circulaire doel</v>
      </c>
      <c r="N42" s="210"/>
      <c r="O42" s="38"/>
      <c r="P42" s="38"/>
      <c r="Q42" s="38"/>
      <c r="R42" s="38"/>
      <c r="S42" s="38"/>
      <c r="T42" s="38"/>
      <c r="U42" s="38"/>
      <c r="V42" s="204"/>
      <c r="W42" s="6">
        <f t="shared" si="6"/>
        <v>1</v>
      </c>
      <c r="X42" s="28">
        <f>'info weging'!B27</f>
        <v>1</v>
      </c>
      <c r="Y42" s="28">
        <f>'info weging'!C27</f>
        <v>1</v>
      </c>
      <c r="Z42" s="28">
        <f>'info weging'!D27</f>
        <v>1</v>
      </c>
      <c r="AA42" s="28">
        <f>'info weging'!E27</f>
        <v>1</v>
      </c>
      <c r="AB42" s="28">
        <f>'info weging'!F27</f>
        <v>1</v>
      </c>
      <c r="AC42" s="29">
        <f>'info weging'!G27</f>
        <v>1</v>
      </c>
      <c r="AD42" s="29">
        <f>'info weging'!H27</f>
        <v>1</v>
      </c>
      <c r="AE42" s="105" t="e">
        <f>VLOOKUP(N42,'info weging'!$A$36:$H$163,2,FALSE)</f>
        <v>#N/A</v>
      </c>
      <c r="AF42" s="10" t="e">
        <f>VLOOKUP(N42,'info weging'!$A$36:$H$163,3,FALSE)</f>
        <v>#N/A</v>
      </c>
      <c r="AG42" s="10" t="e">
        <f>VLOOKUP(N42,'info weging'!$A$36:$H$163,4,FALSE)</f>
        <v>#N/A</v>
      </c>
      <c r="AH42" s="10" t="e">
        <f>VLOOKUP(N42,'info weging'!$A$36:$H$163,5,FALSE)</f>
        <v>#N/A</v>
      </c>
      <c r="AI42" s="10" t="e">
        <f>VLOOKUP(N42,'info weging'!$A$36:$H$163,6,FALSE)</f>
        <v>#N/A</v>
      </c>
      <c r="AJ42" s="11" t="e">
        <f>VLOOKUP(N42,'info weging'!$A$36:$H$163,7,FALSE)</f>
        <v>#N/A</v>
      </c>
      <c r="AK42" s="11" t="e">
        <f>VLOOKUP(N42,'info weging'!$A$36:$H$163,8,FALSE)</f>
        <v>#N/A</v>
      </c>
      <c r="AL42" s="266" t="str">
        <f>IF(COUNTA(N42)=1,AE42*$AE$15+AF42*$AF$15+AG42*$AG$15+AH42*$AH$15+AI42*$AI$15+AJ42*$AJ$15+AK42*$AK$15,"----")</f>
        <v>----</v>
      </c>
      <c r="AM42" s="204"/>
      <c r="AN42" s="205">
        <f>'print Basis'!P37</f>
        <v>1</v>
      </c>
      <c r="AO42" s="204"/>
      <c r="AP42" s="623"/>
      <c r="AQ42" s="835"/>
      <c r="AR42" s="778"/>
      <c r="AS42" s="20"/>
      <c r="AT42" s="20"/>
      <c r="AU42" s="20"/>
      <c r="BYT42" s="299"/>
      <c r="BYU42" s="299"/>
      <c r="BYV42" s="299"/>
      <c r="BYW42" s="299"/>
      <c r="BYX42" s="299"/>
      <c r="BYY42" s="299"/>
      <c r="BYZ42" s="299"/>
      <c r="BZA42" s="299"/>
      <c r="BZB42" s="299"/>
      <c r="BZC42" s="299"/>
      <c r="BZD42" s="299"/>
      <c r="BZE42" s="299"/>
      <c r="BZF42" s="299"/>
      <c r="BZG42" s="299"/>
      <c r="BZH42" s="299"/>
      <c r="BZI42" s="299"/>
      <c r="BZJ42" s="299"/>
      <c r="BZK42" s="299"/>
      <c r="BZL42" s="299"/>
      <c r="BZM42" s="299"/>
      <c r="BZN42" s="299"/>
      <c r="BZO42" s="299"/>
      <c r="BZP42" s="299"/>
      <c r="BZQ42" s="299"/>
      <c r="BZR42" s="299"/>
      <c r="BZS42" s="299"/>
      <c r="BZT42" s="299"/>
      <c r="BZU42" s="299"/>
      <c r="BZV42" s="299"/>
      <c r="BZW42" s="299"/>
      <c r="BZX42" s="299"/>
      <c r="BZY42" s="299"/>
      <c r="BZZ42" s="280"/>
      <c r="CAA42" s="281"/>
      <c r="CAB42" s="281"/>
      <c r="CAC42" s="282"/>
    </row>
    <row r="43" spans="1:49 2022:2057" ht="12.6" customHeight="1" x14ac:dyDescent="0.65">
      <c r="L43" s="648"/>
      <c r="N43" s="116" t="e">
        <f t="shared" ref="N43:U43" si="11">BZJ63</f>
        <v>#N/A</v>
      </c>
      <c r="O43" s="116" t="e">
        <f t="shared" si="11"/>
        <v>#N/A</v>
      </c>
      <c r="P43" s="116" t="e">
        <f t="shared" si="11"/>
        <v>#N/A</v>
      </c>
      <c r="Q43" s="116" t="e">
        <f t="shared" si="11"/>
        <v>#N/A</v>
      </c>
      <c r="R43" s="116" t="e">
        <f t="shared" si="11"/>
        <v>#N/A</v>
      </c>
      <c r="S43" s="116" t="e">
        <f t="shared" si="11"/>
        <v>#N/A</v>
      </c>
      <c r="T43" s="116" t="e">
        <f t="shared" si="11"/>
        <v>#N/A</v>
      </c>
      <c r="U43" s="116" t="e">
        <f t="shared" si="11"/>
        <v>#N/A</v>
      </c>
      <c r="V43" s="116">
        <f t="shared" ref="V43:AP43" si="12">J55</f>
        <v>0</v>
      </c>
      <c r="W43" s="116">
        <f t="shared" si="12"/>
        <v>3</v>
      </c>
      <c r="X43" s="116" t="e">
        <f t="shared" si="12"/>
        <v>#N/A</v>
      </c>
      <c r="Y43" s="116">
        <f t="shared" si="12"/>
        <v>0</v>
      </c>
      <c r="Z43" s="116" t="str">
        <f t="shared" si="12"/>
        <v>Duurzaam gebruik van bestaande objecten, materialen, grondstoffen en natuurlijke processen</v>
      </c>
      <c r="AA43" s="116">
        <f t="shared" si="12"/>
        <v>0</v>
      </c>
      <c r="AB43" s="116">
        <f t="shared" si="12"/>
        <v>0</v>
      </c>
      <c r="AC43" s="116">
        <f t="shared" si="12"/>
        <v>0</v>
      </c>
      <c r="AD43" s="116">
        <f t="shared" si="12"/>
        <v>0</v>
      </c>
      <c r="AE43" s="116">
        <f t="shared" si="12"/>
        <v>0</v>
      </c>
      <c r="AF43" s="116">
        <f t="shared" si="12"/>
        <v>0</v>
      </c>
      <c r="AG43" s="116">
        <f t="shared" si="12"/>
        <v>0</v>
      </c>
      <c r="AH43" s="116">
        <f t="shared" si="12"/>
        <v>0</v>
      </c>
      <c r="AI43" s="116">
        <f t="shared" si="12"/>
        <v>0</v>
      </c>
      <c r="AJ43" s="116">
        <f t="shared" si="12"/>
        <v>0</v>
      </c>
      <c r="AK43" s="116">
        <f t="shared" si="12"/>
        <v>0</v>
      </c>
      <c r="AL43" s="116">
        <f t="shared" si="12"/>
        <v>0</v>
      </c>
      <c r="AM43" s="116">
        <f t="shared" si="12"/>
        <v>0</v>
      </c>
      <c r="AN43" s="116">
        <f t="shared" si="12"/>
        <v>0</v>
      </c>
      <c r="AO43" s="116">
        <f t="shared" si="12"/>
        <v>0</v>
      </c>
      <c r="AP43" s="624">
        <f t="shared" si="12"/>
        <v>0</v>
      </c>
      <c r="AQ43" s="37"/>
      <c r="AR43" s="358"/>
      <c r="BYT43" s="299"/>
      <c r="BYU43" s="299"/>
      <c r="BYV43" s="299"/>
      <c r="BYW43" s="299"/>
      <c r="BYX43" s="299"/>
      <c r="BYY43" s="299"/>
      <c r="BYZ43" s="299"/>
      <c r="BZA43" s="299"/>
      <c r="BZB43" s="299"/>
      <c r="BZC43" s="299"/>
      <c r="BZD43" s="299"/>
      <c r="BZE43" s="299"/>
      <c r="BZF43" s="299"/>
      <c r="BZG43" s="299"/>
      <c r="BZH43" s="299"/>
      <c r="BZI43" s="299"/>
      <c r="BZJ43" s="299"/>
      <c r="BZK43" s="299"/>
      <c r="BZL43" s="299"/>
      <c r="BZM43" s="299"/>
      <c r="BZN43" s="299"/>
      <c r="BZO43" s="299"/>
      <c r="BZP43" s="299"/>
      <c r="BZQ43" s="299"/>
      <c r="BZR43" s="299"/>
      <c r="BZS43" s="299"/>
      <c r="BZT43" s="299"/>
      <c r="BZU43" s="299"/>
      <c r="BZV43" s="299"/>
      <c r="BZW43" s="299"/>
      <c r="BZX43" s="299"/>
      <c r="BZY43" s="299"/>
      <c r="BZZ43" s="280"/>
      <c r="CAA43" s="281"/>
      <c r="CAB43" s="281"/>
      <c r="CAC43" s="282"/>
    </row>
    <row r="44" spans="1:49 2022:2057" ht="21" x14ac:dyDescent="0.4">
      <c r="J44" s="112"/>
      <c r="K44" s="716" t="s">
        <v>384</v>
      </c>
      <c r="L44" s="717"/>
      <c r="M44" s="551" t="str">
        <f>IF(N44="","         optioneel: voor innovatieve additionele maatregelen max 10 punten. Vul hier aantal BONUS punten in (max 10).","")</f>
        <v xml:space="preserve">         optioneel: voor innovatieve additionele maatregelen max 10 punten. Vul hier aantal BONUS punten in (max 10).</v>
      </c>
      <c r="N44" s="718"/>
      <c r="O44" s="20"/>
      <c r="P44" s="472"/>
      <c r="Q44" s="472"/>
      <c r="R44" s="472"/>
      <c r="S44" s="472"/>
      <c r="T44" s="472"/>
      <c r="U44" s="472"/>
      <c r="V44" s="472"/>
      <c r="W44" s="472"/>
      <c r="X44" s="472"/>
      <c r="Y44" s="472"/>
      <c r="Z44" s="472"/>
      <c r="AA44" s="472"/>
      <c r="AB44" s="472"/>
      <c r="AC44" s="472"/>
      <c r="AD44" s="472"/>
      <c r="AE44" s="472"/>
      <c r="AF44" s="472"/>
      <c r="AG44" s="472"/>
      <c r="AH44" s="472"/>
      <c r="AI44" s="472"/>
      <c r="AJ44" s="472"/>
      <c r="AK44" s="472"/>
      <c r="AL44" s="734">
        <f>N44</f>
        <v>0</v>
      </c>
      <c r="AM44" s="203"/>
      <c r="AN44" s="201">
        <f>IF(AL44&lt;10.000001,100%,"max_10")</f>
        <v>1</v>
      </c>
      <c r="AO44" s="128"/>
      <c r="AP44" s="722">
        <f>IF(AL44&lt;10.0000001,AL44,10)</f>
        <v>0</v>
      </c>
      <c r="AQ44" s="836" t="str">
        <f>IF(AP44&gt;0,"             geef korte toelichting op waardering BONUS maatregel","")</f>
        <v/>
      </c>
      <c r="AR44" s="780"/>
      <c r="BYT44" s="299"/>
      <c r="BYU44" s="299"/>
      <c r="BYV44" s="299"/>
      <c r="BYW44" s="299"/>
      <c r="BYX44" s="299"/>
      <c r="BYY44" s="299"/>
      <c r="BYZ44" s="299"/>
      <c r="BZA44" s="299"/>
      <c r="BZB44" s="299"/>
      <c r="BZC44" s="662"/>
      <c r="BZD44" s="299"/>
      <c r="BZE44" s="299"/>
      <c r="BZF44" s="299"/>
      <c r="BZG44" s="299"/>
      <c r="BZH44" s="299"/>
      <c r="BZI44" s="299"/>
      <c r="BZJ44" s="299"/>
      <c r="BZK44" s="299"/>
      <c r="BZL44" s="299"/>
      <c r="BZM44" s="299"/>
      <c r="BZN44" s="299"/>
      <c r="BZO44" s="299"/>
      <c r="BZP44" s="299"/>
      <c r="BZQ44" s="299"/>
      <c r="BZR44" s="299"/>
      <c r="BZS44" s="299"/>
      <c r="BZT44" s="299"/>
      <c r="BZU44" s="299"/>
      <c r="BZV44" s="299"/>
      <c r="BZW44" s="299"/>
      <c r="BZX44" s="299"/>
      <c r="BZY44" s="299"/>
      <c r="BZZ44" s="280"/>
      <c r="CAA44" s="281"/>
      <c r="CAB44" s="281"/>
      <c r="CAC44" s="282"/>
    </row>
    <row r="45" spans="1:49 2022:2057" ht="8.4" customHeight="1" thickBot="1" x14ac:dyDescent="0.35">
      <c r="J45" s="113"/>
      <c r="K45" s="4"/>
      <c r="L45" s="4"/>
      <c r="M45" s="4"/>
      <c r="X45" s="32" t="s">
        <v>30</v>
      </c>
      <c r="Y45" s="32" t="s">
        <v>31</v>
      </c>
      <c r="Z45" s="32" t="s">
        <v>32</v>
      </c>
      <c r="AA45" s="32" t="s">
        <v>33</v>
      </c>
      <c r="AB45" s="32" t="s">
        <v>34</v>
      </c>
      <c r="AC45" s="32" t="s">
        <v>35</v>
      </c>
      <c r="AE45" s="80" t="s">
        <v>30</v>
      </c>
      <c r="AF45" s="32" t="s">
        <v>31</v>
      </c>
      <c r="AG45" s="32" t="s">
        <v>32</v>
      </c>
      <c r="AH45" s="32" t="s">
        <v>33</v>
      </c>
      <c r="AI45" s="32" t="s">
        <v>34</v>
      </c>
      <c r="AJ45" s="32" t="s">
        <v>35</v>
      </c>
      <c r="AK45" s="32" t="s">
        <v>39</v>
      </c>
      <c r="AQ45" s="37"/>
      <c r="AR45" s="37"/>
      <c r="BYT45" s="299"/>
      <c r="BYU45" s="299"/>
      <c r="BYV45" s="299"/>
      <c r="BYW45" s="299"/>
      <c r="BYX45" s="299"/>
      <c r="BYY45" s="299"/>
      <c r="BYZ45" s="299"/>
      <c r="BZA45" s="299"/>
      <c r="BZB45" s="299"/>
      <c r="BZC45" s="299"/>
      <c r="BZD45" s="299"/>
      <c r="BZE45" s="299"/>
      <c r="BZF45" s="299"/>
      <c r="BZG45" s="299"/>
      <c r="BZH45" s="299"/>
      <c r="BZI45" s="299"/>
      <c r="BZJ45" s="299"/>
      <c r="BZK45" s="299"/>
      <c r="BZL45" s="299"/>
      <c r="BZM45" s="299"/>
      <c r="BZN45" s="299"/>
      <c r="BZO45" s="299"/>
      <c r="BZP45" s="299"/>
      <c r="BZQ45" s="299"/>
      <c r="BZR45" s="299"/>
      <c r="BZS45" s="299"/>
      <c r="BZT45" s="299"/>
      <c r="BZU45" s="299"/>
      <c r="BZV45" s="299"/>
      <c r="BZW45" s="299"/>
      <c r="BZX45" s="299"/>
      <c r="BZY45" s="299"/>
      <c r="BZZ45" s="285"/>
      <c r="CAA45" s="286"/>
      <c r="CAB45" s="286"/>
      <c r="CAC45" s="287"/>
    </row>
    <row r="46" spans="1:49 2022:2057" ht="18" hidden="1" x14ac:dyDescent="0.35">
      <c r="J46" s="114"/>
      <c r="L46" s="47"/>
      <c r="AQ46" s="37"/>
      <c r="AR46" s="37"/>
      <c r="BYT46" s="299"/>
      <c r="BYU46" s="299"/>
      <c r="BYV46" s="299"/>
      <c r="BYW46" s="299"/>
      <c r="BYX46" s="299"/>
      <c r="BYY46" s="299"/>
      <c r="BYZ46" s="299"/>
      <c r="BZA46" s="299"/>
      <c r="BZB46" s="299"/>
      <c r="BZC46" s="299"/>
      <c r="BZD46" s="299"/>
      <c r="BZE46" s="299"/>
      <c r="BZF46" s="299"/>
      <c r="BZG46" s="299"/>
      <c r="BZH46" s="299"/>
      <c r="BZI46" s="299"/>
      <c r="BZJ46" s="299"/>
      <c r="BZK46" s="299"/>
      <c r="BZL46" s="299"/>
      <c r="BZM46" s="299"/>
      <c r="BZN46" s="299"/>
      <c r="BZO46" s="299"/>
      <c r="BZP46" s="299"/>
      <c r="BZQ46" s="299"/>
      <c r="BZR46" s="299"/>
      <c r="BZS46" s="299"/>
      <c r="BZT46" s="299"/>
      <c r="BZU46" s="299"/>
      <c r="BZV46" s="299"/>
      <c r="BZW46" s="299"/>
      <c r="BZX46" s="299"/>
      <c r="BZY46" s="299"/>
    </row>
    <row r="47" spans="1:49 2022:2057" ht="18" hidden="1" x14ac:dyDescent="0.35">
      <c r="J47" s="114"/>
      <c r="K47" s="180">
        <f>'print Basis'!G11</f>
        <v>2</v>
      </c>
      <c r="L47" s="206" t="str">
        <f>"Samenvatting resultaten Procesmonitor Circulaire Peiler van de"&amp;" "&amp;N8</f>
        <v>Samenvatting resultaten Procesmonitor Circulaire Peiler van de verkenningsfase</v>
      </c>
      <c r="M47" s="179"/>
      <c r="N47" s="206"/>
      <c r="O47" s="179"/>
      <c r="P47" s="179"/>
      <c r="Q47" s="179"/>
      <c r="R47" s="179"/>
      <c r="S47" s="179"/>
      <c r="T47" s="179"/>
      <c r="U47" s="179"/>
      <c r="V47" s="179"/>
      <c r="W47" s="179"/>
      <c r="X47" s="179"/>
      <c r="Y47" s="179"/>
      <c r="Z47" s="179"/>
      <c r="AA47" s="179"/>
      <c r="AB47" s="179"/>
      <c r="AC47" s="179"/>
      <c r="AD47" s="179"/>
      <c r="AE47" s="179"/>
      <c r="AF47" s="179"/>
      <c r="AG47" s="179"/>
      <c r="AH47" s="179"/>
      <c r="AI47" s="179"/>
      <c r="AJ47" s="179"/>
      <c r="AK47" s="179"/>
      <c r="AL47" s="179"/>
      <c r="AM47" s="179"/>
      <c r="AN47" s="182"/>
      <c r="AO47" s="179"/>
      <c r="AP47" s="625"/>
      <c r="AQ47" s="37"/>
      <c r="AR47" s="358"/>
      <c r="BYT47" s="299"/>
      <c r="BYU47" s="299"/>
      <c r="BYV47" s="299"/>
      <c r="BYW47" s="299"/>
      <c r="BYX47" s="299"/>
      <c r="BYY47" s="299"/>
      <c r="BYZ47" s="299"/>
      <c r="BZA47" s="299"/>
      <c r="BZB47" s="299"/>
      <c r="BZC47" s="299"/>
      <c r="BZD47" s="299"/>
      <c r="BZE47" s="299"/>
      <c r="BZF47" s="299"/>
      <c r="BZG47" s="299"/>
      <c r="BZH47" s="299"/>
      <c r="BZI47" s="299"/>
      <c r="BZJ47" s="299"/>
      <c r="BZK47" s="299"/>
      <c r="BZL47" s="299"/>
      <c r="BZM47" s="299"/>
      <c r="BZN47" s="299"/>
      <c r="BZO47" s="299"/>
      <c r="BZP47" s="299"/>
      <c r="BZQ47" s="299"/>
      <c r="BZR47" s="299"/>
      <c r="BZS47" s="299"/>
      <c r="BZT47" s="299"/>
      <c r="BZU47" s="299"/>
      <c r="BZV47" s="299"/>
      <c r="BZW47" s="299"/>
      <c r="BZX47" s="299"/>
      <c r="BZY47" s="299"/>
    </row>
    <row r="48" spans="1:49 2022:2057" ht="18" hidden="1" x14ac:dyDescent="0.35">
      <c r="J48" s="114"/>
      <c r="K48" s="119"/>
      <c r="L48" s="233" t="str">
        <f>'print Basis'!G8</f>
        <v>Projectnaam</v>
      </c>
      <c r="M48" s="81"/>
      <c r="N48" s="234" t="str">
        <f>'print Basis'!G10</f>
        <v>invoer Basis</v>
      </c>
      <c r="O48" s="81"/>
      <c r="P48" s="81"/>
      <c r="Q48" s="81"/>
      <c r="R48" s="81"/>
      <c r="S48" s="81"/>
      <c r="T48" s="81"/>
      <c r="U48" s="81"/>
      <c r="V48" s="81"/>
      <c r="W48" s="81"/>
      <c r="X48" s="81"/>
      <c r="Y48" s="81"/>
      <c r="Z48" s="81"/>
      <c r="AA48" s="81"/>
      <c r="AB48" s="81"/>
      <c r="AC48" s="81"/>
      <c r="AD48" s="81"/>
      <c r="AE48" s="81"/>
      <c r="AF48" s="81"/>
      <c r="AG48" s="81"/>
      <c r="AH48" s="81"/>
      <c r="AI48" s="81"/>
      <c r="AJ48" s="81"/>
      <c r="AK48" s="81"/>
      <c r="AL48" s="81"/>
      <c r="AM48" s="81"/>
      <c r="AN48" s="165"/>
      <c r="AO48" s="81"/>
      <c r="AP48" s="626"/>
      <c r="AQ48" s="37"/>
      <c r="AR48" s="358"/>
      <c r="BYT48" s="299"/>
      <c r="BYU48" s="299"/>
      <c r="BYV48" s="299"/>
      <c r="BYW48" s="299"/>
      <c r="BYX48" s="299"/>
      <c r="BYY48" s="299"/>
      <c r="BYZ48" s="299"/>
      <c r="BZA48" s="299"/>
      <c r="BZB48" s="299"/>
      <c r="BZC48" s="299"/>
      <c r="BZD48" s="299"/>
      <c r="BZE48" s="299"/>
      <c r="BZF48" s="299"/>
      <c r="BZG48" s="299"/>
      <c r="BZH48" s="299"/>
      <c r="BZI48" s="299"/>
      <c r="BZJ48" s="299"/>
      <c r="BZK48" s="299"/>
      <c r="BZL48" s="299"/>
      <c r="BZM48" s="299"/>
      <c r="BZN48" s="299"/>
      <c r="BZO48" s="299"/>
      <c r="BZP48" s="299"/>
      <c r="BZQ48" s="299"/>
      <c r="BZR48" s="299"/>
      <c r="BZS48" s="299"/>
      <c r="BZT48" s="299"/>
      <c r="BZU48" s="299"/>
      <c r="BZV48" s="299"/>
      <c r="BZW48" s="299"/>
      <c r="BZX48" s="299"/>
      <c r="BZY48" s="299"/>
    </row>
    <row r="49" spans="10:44 2022:2053" ht="18" hidden="1" x14ac:dyDescent="0.35">
      <c r="J49" s="114"/>
      <c r="K49" s="30"/>
      <c r="L49" s="47" t="s">
        <v>114</v>
      </c>
      <c r="M49" s="20"/>
      <c r="N49" s="181" t="e">
        <f>ROUND('A1'!L61,0)</f>
        <v>#N/A</v>
      </c>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183"/>
      <c r="AO49" s="20"/>
      <c r="AP49" s="627"/>
      <c r="AQ49" s="37"/>
      <c r="AR49" s="358"/>
      <c r="BYT49" s="299"/>
      <c r="BYU49" s="299"/>
      <c r="BYV49" s="299"/>
      <c r="BYW49" s="299"/>
      <c r="BYX49" s="299"/>
      <c r="BYY49" s="299"/>
      <c r="BYZ49" s="299"/>
      <c r="BZA49" s="299"/>
      <c r="BZB49" s="299"/>
      <c r="BZC49" s="299"/>
      <c r="BZD49" s="299"/>
      <c r="BZE49" s="299"/>
      <c r="BZF49" s="299"/>
      <c r="BZG49" s="299"/>
      <c r="BZH49" s="299"/>
      <c r="BZI49" s="299"/>
      <c r="BZJ49" s="299"/>
      <c r="BZK49" s="299"/>
      <c r="BZL49" s="299"/>
      <c r="BZM49" s="299"/>
      <c r="BZN49" s="299"/>
      <c r="BZO49" s="299"/>
      <c r="BZP49" s="299"/>
      <c r="BZQ49" s="299"/>
      <c r="BZR49" s="299"/>
      <c r="BZS49" s="299"/>
      <c r="BZT49" s="299"/>
      <c r="BZU49" s="299"/>
      <c r="BZV49" s="299"/>
      <c r="BZW49" s="299"/>
      <c r="BZX49" s="299"/>
      <c r="BZY49" s="299"/>
    </row>
    <row r="50" spans="10:44 2022:2053" hidden="1" x14ac:dyDescent="0.3">
      <c r="J50" s="114"/>
      <c r="K50" s="3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183"/>
      <c r="AO50" s="20"/>
      <c r="AP50" s="627"/>
      <c r="AQ50" s="37"/>
      <c r="AR50" s="358"/>
      <c r="BYT50" s="299"/>
      <c r="BYU50" s="299"/>
      <c r="BYV50" s="299"/>
      <c r="BYW50" s="299"/>
      <c r="BYX50" s="299"/>
      <c r="BYY50" s="299"/>
      <c r="BYZ50" s="299"/>
      <c r="BZA50" s="299"/>
      <c r="BZB50" s="299"/>
      <c r="BZC50" s="299"/>
      <c r="BZD50" s="299"/>
      <c r="BZE50" s="299"/>
      <c r="BZF50" s="299"/>
      <c r="BZG50" s="299"/>
      <c r="BZH50" s="299"/>
      <c r="BZI50" s="299"/>
      <c r="BZJ50" s="299"/>
      <c r="BZK50" s="299"/>
      <c r="BZL50" s="299"/>
      <c r="BZM50" s="299"/>
      <c r="BZN50" s="299"/>
      <c r="BZO50" s="299"/>
      <c r="BZP50" s="299"/>
      <c r="BZQ50" s="299"/>
      <c r="BZR50" s="299"/>
      <c r="BZS50" s="299"/>
      <c r="BZT50" s="299"/>
      <c r="BZU50" s="299"/>
      <c r="BZV50" s="299"/>
      <c r="BZW50" s="299"/>
      <c r="BZX50" s="299"/>
      <c r="BZY50" s="299"/>
    </row>
    <row r="51" spans="10:44 2022:2053" ht="13.95" hidden="1" customHeight="1" x14ac:dyDescent="0.3">
      <c r="J51" s="114"/>
      <c r="K51" s="31"/>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184"/>
      <c r="AO51" s="38"/>
      <c r="AP51" s="628"/>
      <c r="AQ51" s="37"/>
      <c r="AR51" s="358"/>
      <c r="BYT51" s="299"/>
      <c r="BYU51" s="299"/>
      <c r="BYV51" s="299"/>
      <c r="BYW51" s="299"/>
      <c r="BYX51" s="299"/>
      <c r="BYY51" s="299"/>
      <c r="BYZ51" s="299"/>
      <c r="BZA51" s="299"/>
      <c r="BZB51" s="299"/>
      <c r="BZC51" s="299"/>
      <c r="BZD51" s="299"/>
      <c r="BZE51" s="299"/>
      <c r="BZF51" s="299"/>
      <c r="BZG51" s="299"/>
      <c r="BZH51" s="299"/>
      <c r="BZI51" s="299"/>
      <c r="BZJ51" s="299"/>
      <c r="BZK51" s="299"/>
      <c r="BZL51" s="299"/>
      <c r="BZM51" s="299"/>
      <c r="BZN51" s="299"/>
      <c r="BZO51" s="299"/>
      <c r="BZP51" s="299"/>
      <c r="BZQ51" s="299"/>
      <c r="BZR51" s="299"/>
      <c r="BZS51" s="299"/>
      <c r="BZT51" s="299"/>
      <c r="BZU51" s="299"/>
      <c r="BZV51" s="299"/>
      <c r="BZW51" s="299"/>
      <c r="BZX51" s="299"/>
      <c r="BZY51" s="299"/>
    </row>
    <row r="52" spans="10:44 2022:2053" ht="18" hidden="1" x14ac:dyDescent="0.35">
      <c r="J52" s="114"/>
      <c r="K52" s="185"/>
      <c r="L52" s="473" t="s">
        <v>115</v>
      </c>
      <c r="M52" s="186"/>
      <c r="N52" s="187" t="s">
        <v>116</v>
      </c>
      <c r="O52" s="81"/>
      <c r="P52" s="81"/>
      <c r="Q52" s="81"/>
      <c r="R52" s="81"/>
      <c r="S52" s="81"/>
      <c r="T52" s="81"/>
      <c r="U52" s="81"/>
      <c r="V52" s="81"/>
      <c r="W52" s="81"/>
      <c r="X52" s="81"/>
      <c r="Y52" s="81"/>
      <c r="Z52" s="81"/>
      <c r="AA52" s="81"/>
      <c r="AB52" s="81"/>
      <c r="AC52" s="81"/>
      <c r="AD52" s="81"/>
      <c r="AE52" s="81"/>
      <c r="AF52" s="81"/>
      <c r="AG52" s="81"/>
      <c r="AH52" s="81"/>
      <c r="AI52" s="81"/>
      <c r="AJ52" s="81"/>
      <c r="AK52" s="81"/>
      <c r="AL52" s="81"/>
      <c r="AM52" s="81"/>
      <c r="AN52" s="165"/>
      <c r="AO52" s="81"/>
      <c r="AP52" s="629" t="str">
        <f>"Circulaire Peiler "&amp;'print Basis'!O5 &amp;"   "&amp; 'print Basis'!P5</f>
        <v>Circulaire Peiler ?   ?</v>
      </c>
      <c r="AQ52" s="37"/>
      <c r="AR52" s="358"/>
      <c r="BYT52" s="299"/>
      <c r="BYU52" s="299"/>
      <c r="BYV52" s="299"/>
      <c r="BYW52" s="299"/>
      <c r="BYX52" s="299"/>
      <c r="BYY52" s="299"/>
      <c r="BYZ52" s="299"/>
      <c r="BZA52" s="299"/>
      <c r="BZB52" s="299"/>
      <c r="BZC52" s="299"/>
      <c r="BZD52" s="299"/>
      <c r="BZE52" s="299"/>
      <c r="BZF52" s="299"/>
      <c r="BZG52" s="299"/>
      <c r="BZH52" s="299"/>
      <c r="BZI52" s="664" t="s">
        <v>117</v>
      </c>
      <c r="BZJ52" s="664"/>
      <c r="BZK52" s="664">
        <v>1</v>
      </c>
      <c r="BZL52" s="664">
        <v>2</v>
      </c>
      <c r="BZM52" s="664">
        <v>3</v>
      </c>
      <c r="BZN52" s="664">
        <v>4</v>
      </c>
      <c r="BZO52" s="664">
        <v>5</v>
      </c>
      <c r="BZP52" s="664">
        <v>6</v>
      </c>
      <c r="BZQ52" s="664">
        <v>7</v>
      </c>
      <c r="BZR52" s="299"/>
      <c r="BZS52" s="299"/>
      <c r="BZT52" s="299"/>
      <c r="BZU52" s="299"/>
      <c r="BZV52" s="299"/>
      <c r="BZW52" s="299"/>
      <c r="BZX52" s="299"/>
      <c r="BZY52" s="299"/>
    </row>
    <row r="53" spans="10:44 2022:2053" ht="18" hidden="1" customHeight="1" x14ac:dyDescent="0.35">
      <c r="J53" s="114"/>
      <c r="K53" s="563">
        <v>1</v>
      </c>
      <c r="L53" s="82" t="e">
        <f t="shared" ref="L53:L60" si="13">BZJ54</f>
        <v>#N/A</v>
      </c>
      <c r="M53" s="48"/>
      <c r="N53" s="47" t="str">
        <f t="shared" ref="N53:N60" si="14">BZI54</f>
        <v>Voorkómen: niet doen wat echt niet hoeft</v>
      </c>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183"/>
      <c r="AO53" s="20"/>
      <c r="AP53" s="627"/>
      <c r="AQ53" s="37"/>
      <c r="AR53" s="37"/>
      <c r="BYT53" s="299"/>
      <c r="BYU53" s="299"/>
      <c r="BYV53" s="299"/>
      <c r="BYW53" s="299"/>
      <c r="BYX53" s="299"/>
      <c r="BYY53" s="299"/>
      <c r="BYZ53" s="299"/>
      <c r="BZA53" s="299"/>
      <c r="BZB53" s="299"/>
      <c r="BZC53" s="299"/>
      <c r="BZD53" s="299"/>
      <c r="BZE53" s="299"/>
      <c r="BZF53" s="299"/>
      <c r="BZG53" s="299"/>
      <c r="BZH53" s="299"/>
      <c r="BZI53" s="299"/>
      <c r="BZJ53" s="667" t="e">
        <f>""&amp;N47&amp;" CPI="&amp;BZJ63&amp;" (CPI2030=100)"</f>
        <v>#N/A</v>
      </c>
      <c r="BZK53" s="667" t="e">
        <f>"circulair peil verkenningsfase CP="&amp;BZJ63&amp;" (CP2030=100); indic. KRW-oost"</f>
        <v>#N/A</v>
      </c>
      <c r="BZL53" s="667" t="e">
        <f>"verkenningsfase scoort: "&amp;BZL63&amp;"% van de circulaire doelstelling 2030"</f>
        <v>#N/A</v>
      </c>
      <c r="BZM53" s="667" t="e">
        <f>"planuitwerkingsfase scoort: "&amp;BZM63&amp;"% van de circulaire doelstelling 2030"</f>
        <v>#N/A</v>
      </c>
      <c r="BZN53" s="667" t="e">
        <f>"contractvormingsfase scoort: "&amp;BZN63&amp;"% van de circadlaire doelstelling 2030"</f>
        <v>#N/A</v>
      </c>
      <c r="BZO53" s="667" t="e">
        <f>"realisatiefase scoort: "&amp;BZO63&amp;"% ahan de circulaire doelstelling 2030"</f>
        <v>#N/A</v>
      </c>
      <c r="BZP53" s="667" t="e">
        <f>"beheer/onderhoudsfase scoort: "&amp;BZP63&amp;"% van de circulaire doelstelling 2030"</f>
        <v>#N/A</v>
      </c>
      <c r="BZQ53" s="667" t="s">
        <v>118</v>
      </c>
      <c r="BZR53" s="299"/>
      <c r="BZS53" s="299"/>
      <c r="BZT53" s="299"/>
      <c r="BZU53" s="299"/>
      <c r="BZV53" s="299"/>
      <c r="BZW53" s="299"/>
      <c r="BZX53" s="299"/>
      <c r="BZY53" s="299"/>
    </row>
    <row r="54" spans="10:44 2022:2053" ht="18" hidden="1" x14ac:dyDescent="0.35">
      <c r="J54" s="114"/>
      <c r="K54" s="270">
        <v>2</v>
      </c>
      <c r="L54" s="82" t="e">
        <f t="shared" si="13"/>
        <v>#N/A</v>
      </c>
      <c r="M54" s="48"/>
      <c r="N54" s="47" t="str">
        <f t="shared" si="14"/>
        <v>Verleng de levensduur van bestaande objecten of componenten</v>
      </c>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183"/>
      <c r="AO54" s="20"/>
      <c r="AP54" s="627"/>
      <c r="AQ54" s="37"/>
      <c r="AR54" s="37"/>
      <c r="BYT54" s="299"/>
      <c r="BYU54" s="299"/>
      <c r="BYV54" s="299"/>
      <c r="BYW54" s="299"/>
      <c r="BYX54" s="299"/>
      <c r="BYY54" s="299"/>
      <c r="BYZ54" s="299"/>
      <c r="BZA54" s="299"/>
      <c r="BZB54" s="299"/>
      <c r="BZC54" s="299"/>
      <c r="BZD54" s="299"/>
      <c r="BZE54" s="299"/>
      <c r="BZF54" s="299"/>
      <c r="BZG54" s="299"/>
      <c r="BZH54" s="299"/>
      <c r="BZI54" s="668" t="str">
        <f>L23</f>
        <v>Voorkómen: niet doen wat echt niet hoeft</v>
      </c>
      <c r="BZJ54" s="669" t="e">
        <f t="shared" ref="BZJ54:BZJ62" si="15">BZK54*$BZK$64+BZL54*$BZL$64+BZM54*$BZM$64+BZN54*$BZN$64+BZO54*$BZO$64+BZP54*$BZP$64+$BZQ$64*BZQ54</f>
        <v>#N/A</v>
      </c>
      <c r="BZK54" s="669" t="e">
        <f>BYY24</f>
        <v>#N/A</v>
      </c>
      <c r="BZL54" s="669" t="e">
        <f>BZC24</f>
        <v>#N/A</v>
      </c>
      <c r="BZM54" s="669" t="e">
        <f>BZG24</f>
        <v>#N/A</v>
      </c>
      <c r="BZN54" s="669" t="e">
        <f>BZK24</f>
        <v>#N/A</v>
      </c>
      <c r="BZO54" s="669" t="e">
        <f>BZO24</f>
        <v>#N/A</v>
      </c>
      <c r="BZP54" s="669" t="e">
        <f>BZS24</f>
        <v>#N/A</v>
      </c>
      <c r="BZQ54" s="669" t="e">
        <f>BZW24</f>
        <v>#N/A</v>
      </c>
      <c r="BZR54" s="299"/>
      <c r="BZS54" s="299"/>
      <c r="BZT54" s="299"/>
      <c r="BZU54" s="299"/>
      <c r="BZV54" s="299"/>
      <c r="BZW54" s="299"/>
      <c r="BZX54" s="299"/>
      <c r="BZY54" s="299"/>
    </row>
    <row r="55" spans="10:44 2022:2053" ht="18" hidden="1" x14ac:dyDescent="0.35">
      <c r="J55" s="115"/>
      <c r="K55" s="171">
        <v>3</v>
      </c>
      <c r="L55" s="82" t="e">
        <f t="shared" si="13"/>
        <v>#N/A</v>
      </c>
      <c r="M55" s="48"/>
      <c r="N55" s="47" t="str">
        <f t="shared" si="14"/>
        <v>Duurzaam gebruik van bestaande objecten, materialen, grondstoffen en natuurlijke processen</v>
      </c>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183"/>
      <c r="AO55" s="20"/>
      <c r="AP55" s="627"/>
      <c r="AQ55" s="37"/>
      <c r="AR55" s="37"/>
      <c r="BYT55" s="299"/>
      <c r="BYU55" s="299"/>
      <c r="BYV55" s="299"/>
      <c r="BYW55" s="299"/>
      <c r="BYX55" s="299"/>
      <c r="BYY55" s="299"/>
      <c r="BYZ55" s="299"/>
      <c r="BZA55" s="299"/>
      <c r="BZB55" s="299"/>
      <c r="BZC55" s="299"/>
      <c r="BZD55" s="299"/>
      <c r="BZE55" s="299"/>
      <c r="BZF55" s="299"/>
      <c r="BZG55" s="299"/>
      <c r="BZH55" s="299"/>
      <c r="BZI55" s="668" t="str">
        <f>L25</f>
        <v>Verleng de levensduur van bestaande objecten of componenten</v>
      </c>
      <c r="BZJ55" s="669" t="e">
        <f t="shared" si="15"/>
        <v>#N/A</v>
      </c>
      <c r="BZK55" s="669" t="e">
        <f>BYY25</f>
        <v>#N/A</v>
      </c>
      <c r="BZL55" s="669" t="e">
        <f>BZC25</f>
        <v>#N/A</v>
      </c>
      <c r="BZM55" s="669" t="e">
        <f>BZG25</f>
        <v>#N/A</v>
      </c>
      <c r="BZN55" s="669" t="e">
        <f>BZK25</f>
        <v>#N/A</v>
      </c>
      <c r="BZO55" s="669" t="e">
        <f>BZO25</f>
        <v>#N/A</v>
      </c>
      <c r="BZP55" s="669" t="e">
        <f>BZS25</f>
        <v>#N/A</v>
      </c>
      <c r="BZQ55" s="669" t="e">
        <f>BZW25</f>
        <v>#N/A</v>
      </c>
      <c r="BZR55" s="299"/>
      <c r="BZS55" s="299"/>
      <c r="BZT55" s="299"/>
      <c r="BZU55" s="299"/>
      <c r="BZV55" s="299"/>
      <c r="BZW55" s="299"/>
      <c r="BZX55" s="299"/>
      <c r="BZY55" s="299"/>
    </row>
    <row r="56" spans="10:44 2022:2053" ht="18" hidden="1" x14ac:dyDescent="0.35">
      <c r="J56" s="12"/>
      <c r="K56" s="172">
        <v>4</v>
      </c>
      <c r="L56" s="82" t="e">
        <f t="shared" si="13"/>
        <v>#N/A</v>
      </c>
      <c r="M56" s="48"/>
      <c r="N56" s="47" t="str">
        <f t="shared" si="14"/>
        <v>Ontwerp voor meerdere levenscycli</v>
      </c>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183"/>
      <c r="AO56" s="20"/>
      <c r="AP56" s="627"/>
      <c r="AQ56" s="37"/>
      <c r="AR56" s="37"/>
      <c r="BYT56" s="299"/>
      <c r="BYU56" s="299"/>
      <c r="BYV56" s="299"/>
      <c r="BYW56" s="299"/>
      <c r="BYX56" s="299"/>
      <c r="BYY56" s="299"/>
      <c r="BYZ56" s="299"/>
      <c r="BZA56" s="299"/>
      <c r="BZB56" s="299"/>
      <c r="BZC56" s="299"/>
      <c r="BZD56" s="299"/>
      <c r="BZE56" s="299"/>
      <c r="BZF56" s="299"/>
      <c r="BZG56" s="299"/>
      <c r="BZH56" s="299"/>
      <c r="BZI56" s="668" t="str">
        <f>L27</f>
        <v>Duurzaam gebruik van bestaande objecten, materialen, grondstoffen en natuurlijke processen</v>
      </c>
      <c r="BZJ56" s="669" t="e">
        <f t="shared" si="15"/>
        <v>#N/A</v>
      </c>
      <c r="BZK56" s="669" t="e">
        <f>SUM(BYY26:BYY28)</f>
        <v>#N/A</v>
      </c>
      <c r="BZL56" s="669" t="e">
        <f>SUM(BZC26:BZC28)</f>
        <v>#N/A</v>
      </c>
      <c r="BZM56" s="669" t="e">
        <f>SUM(BZG26:BZG28)</f>
        <v>#N/A</v>
      </c>
      <c r="BZN56" s="669" t="e">
        <f>SUM(BZK26:BZK28)</f>
        <v>#N/A</v>
      </c>
      <c r="BZO56" s="669" t="e">
        <f>SUM(BZO26:BZO28)</f>
        <v>#N/A</v>
      </c>
      <c r="BZP56" s="669" t="e">
        <f>SUM(BZS26:BZS28)</f>
        <v>#N/A</v>
      </c>
      <c r="BZQ56" s="669" t="e">
        <f>SUM(BZW26:BZW28)</f>
        <v>#N/A</v>
      </c>
      <c r="BZR56" s="299"/>
      <c r="BZS56" s="299"/>
      <c r="BZT56" s="299"/>
      <c r="BZU56" s="299"/>
      <c r="BZV56" s="299"/>
      <c r="BZW56" s="299"/>
      <c r="BZX56" s="299"/>
      <c r="BZY56" s="299"/>
    </row>
    <row r="57" spans="10:44 2022:2053" ht="18" hidden="1" x14ac:dyDescent="0.35">
      <c r="K57" s="269">
        <v>5</v>
      </c>
      <c r="L57" s="82" t="e">
        <f t="shared" si="13"/>
        <v>#N/A</v>
      </c>
      <c r="M57" s="48"/>
      <c r="N57" s="47" t="str">
        <f t="shared" si="14"/>
        <v>Ontwerp toekomstbestendig</v>
      </c>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183"/>
      <c r="AO57" s="20"/>
      <c r="AP57" s="627"/>
      <c r="AQ57" s="37"/>
      <c r="AR57" s="37"/>
      <c r="BYT57" s="299"/>
      <c r="BYU57" s="299"/>
      <c r="BYV57" s="299"/>
      <c r="BYW57" s="299"/>
      <c r="BYX57" s="299"/>
      <c r="BYY57" s="299"/>
      <c r="BYZ57" s="299"/>
      <c r="BZA57" s="299"/>
      <c r="BZB57" s="299"/>
      <c r="BZC57" s="299"/>
      <c r="BZD57" s="299"/>
      <c r="BZE57" s="299"/>
      <c r="BZF57" s="299"/>
      <c r="BZG57" s="299"/>
      <c r="BZH57" s="299"/>
      <c r="BZI57" s="668" t="str">
        <f>L31</f>
        <v>Ontwerp voor meerdere levenscycli</v>
      </c>
      <c r="BZJ57" s="669" t="e">
        <f t="shared" si="15"/>
        <v>#N/A</v>
      </c>
      <c r="BZK57" s="669" t="e">
        <f>BYY29+BYY30</f>
        <v>#N/A</v>
      </c>
      <c r="BZL57" s="669" t="e">
        <f>BZC29+BZC30</f>
        <v>#N/A</v>
      </c>
      <c r="BZM57" s="669" t="e">
        <f>BZG29+BZG30</f>
        <v>#N/A</v>
      </c>
      <c r="BZN57" s="669" t="e">
        <f>BZK29+BZK30</f>
        <v>#N/A</v>
      </c>
      <c r="BZO57" s="669" t="e">
        <f>BZO29+BZO30</f>
        <v>#N/A</v>
      </c>
      <c r="BZP57" s="669" t="e">
        <f>BZS29+BZS30</f>
        <v>#N/A</v>
      </c>
      <c r="BZQ57" s="669" t="e">
        <f>BZW29+BZW30</f>
        <v>#N/A</v>
      </c>
      <c r="BZR57" s="299"/>
      <c r="BZS57" s="299"/>
      <c r="BZT57" s="299"/>
      <c r="BZU57" s="299"/>
      <c r="BZV57" s="299"/>
      <c r="BZW57" s="299"/>
      <c r="BZX57" s="299"/>
      <c r="BZY57" s="299"/>
    </row>
    <row r="58" spans="10:44 2022:2053" ht="18" hidden="1" x14ac:dyDescent="0.35">
      <c r="K58" s="173">
        <v>6</v>
      </c>
      <c r="L58" s="82" t="e">
        <f t="shared" si="13"/>
        <v>#N/A</v>
      </c>
      <c r="M58" s="48"/>
      <c r="N58" s="47" t="str">
        <f t="shared" si="14"/>
        <v xml:space="preserve">Ontwerp voor optimaal beheer en onderhoud </v>
      </c>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183"/>
      <c r="AO58" s="20"/>
      <c r="AP58" s="627"/>
      <c r="AQ58" s="37"/>
      <c r="AR58" s="37"/>
      <c r="BYT58" s="299"/>
      <c r="BYU58" s="299"/>
      <c r="BYV58" s="299"/>
      <c r="BYW58" s="299"/>
      <c r="BYX58" s="299"/>
      <c r="BYY58" s="299"/>
      <c r="BYZ58" s="299"/>
      <c r="BZA58" s="299"/>
      <c r="BZB58" s="299"/>
      <c r="BZC58" s="299"/>
      <c r="BZD58" s="299"/>
      <c r="BZE58" s="299"/>
      <c r="BZF58" s="299"/>
      <c r="BZG58" s="299"/>
      <c r="BZH58" s="299"/>
      <c r="BZI58" s="668" t="str">
        <f>L34</f>
        <v>Ontwerp toekomstbestendig</v>
      </c>
      <c r="BZJ58" s="669" t="e">
        <f t="shared" si="15"/>
        <v>#N/A</v>
      </c>
      <c r="BZK58" s="669" t="e">
        <f>BYY31</f>
        <v>#N/A</v>
      </c>
      <c r="BZL58" s="669" t="e">
        <f>BZC31</f>
        <v>#N/A</v>
      </c>
      <c r="BZM58" s="669" t="e">
        <f>BZG31</f>
        <v>#N/A</v>
      </c>
      <c r="BZN58" s="669" t="e">
        <f>BZK31</f>
        <v>#N/A</v>
      </c>
      <c r="BZO58" s="669" t="e">
        <f>BZO31</f>
        <v>#N/A</v>
      </c>
      <c r="BZP58" s="669" t="e">
        <f>BZS31</f>
        <v>#N/A</v>
      </c>
      <c r="BZQ58" s="669" t="e">
        <f>BZW31</f>
        <v>#N/A</v>
      </c>
      <c r="BZR58" s="299"/>
      <c r="BZS58" s="299"/>
      <c r="BZT58" s="299"/>
      <c r="BZU58" s="299"/>
      <c r="BZV58" s="299"/>
      <c r="BZW58" s="299"/>
      <c r="BZX58" s="299"/>
      <c r="BZY58" s="299"/>
    </row>
    <row r="59" spans="10:44 2022:2053" ht="18" hidden="1" x14ac:dyDescent="0.35">
      <c r="K59" s="174">
        <v>7</v>
      </c>
      <c r="L59" s="82" t="e">
        <f t="shared" si="13"/>
        <v>#N/A</v>
      </c>
      <c r="M59" s="48"/>
      <c r="N59" s="47" t="str">
        <f t="shared" si="14"/>
        <v>Duurzaam materiaalgebruik (hoeveel x milieubelasting)</v>
      </c>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183"/>
      <c r="AO59" s="20"/>
      <c r="AP59" s="627"/>
      <c r="AQ59" s="37"/>
      <c r="AR59" s="37"/>
      <c r="BYT59" s="299"/>
      <c r="BYU59" s="299"/>
      <c r="BYV59" s="299"/>
      <c r="BYW59" s="299"/>
      <c r="BYX59" s="299"/>
      <c r="BYY59" s="299"/>
      <c r="BYZ59" s="299"/>
      <c r="BZA59" s="299"/>
      <c r="BZB59" s="299"/>
      <c r="BZC59" s="299"/>
      <c r="BZD59" s="299"/>
      <c r="BZE59" s="299"/>
      <c r="BZF59" s="299"/>
      <c r="BZG59" s="299"/>
      <c r="BZH59" s="299"/>
      <c r="BZI59" s="668" t="str">
        <f>L36</f>
        <v xml:space="preserve">Ontwerp voor optimaal beheer en onderhoud </v>
      </c>
      <c r="BZJ59" s="669" t="e">
        <f t="shared" si="15"/>
        <v>#N/A</v>
      </c>
      <c r="BZK59" s="669" t="e">
        <f>BYY32</f>
        <v>#N/A</v>
      </c>
      <c r="BZL59" s="669" t="e">
        <f>BZC32</f>
        <v>#N/A</v>
      </c>
      <c r="BZM59" s="669" t="e">
        <f>BZG32</f>
        <v>#N/A</v>
      </c>
      <c r="BZN59" s="669" t="e">
        <f>BZK32</f>
        <v>#N/A</v>
      </c>
      <c r="BZO59" s="669" t="e">
        <f>BZO32</f>
        <v>#N/A</v>
      </c>
      <c r="BZP59" s="669" t="e">
        <f>BZS32</f>
        <v>#N/A</v>
      </c>
      <c r="BZQ59" s="669" t="e">
        <f>BZW32</f>
        <v>#N/A</v>
      </c>
      <c r="BZR59" s="299"/>
      <c r="BZS59" s="299"/>
      <c r="BZT59" s="299"/>
      <c r="BZU59" s="299"/>
      <c r="BZV59" s="299"/>
      <c r="BZW59" s="299"/>
      <c r="BZX59" s="299"/>
      <c r="BZY59" s="299"/>
    </row>
    <row r="60" spans="10:44 2022:2053" ht="18" hidden="1" x14ac:dyDescent="0.35">
      <c r="K60" s="268">
        <v>8</v>
      </c>
      <c r="L60" s="82" t="e">
        <f t="shared" si="13"/>
        <v>#N/A</v>
      </c>
      <c r="M60" s="53"/>
      <c r="N60" s="47" t="str">
        <f t="shared" si="14"/>
        <v>Ontwerp voor minimaal grondstof- en energiegebruik in de aanleg/gebruiksfase</v>
      </c>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183"/>
      <c r="AO60" s="20"/>
      <c r="AP60" s="627"/>
      <c r="AQ60" s="37"/>
      <c r="AR60" s="37"/>
      <c r="BYT60" s="299"/>
      <c r="BYU60" s="299"/>
      <c r="BYV60" s="299"/>
      <c r="BYW60" s="299"/>
      <c r="BYX60" s="299"/>
      <c r="BYY60" s="299"/>
      <c r="BYZ60" s="299"/>
      <c r="BZA60" s="299"/>
      <c r="BZB60" s="299"/>
      <c r="BZC60" s="299"/>
      <c r="BZD60" s="299"/>
      <c r="BZE60" s="299"/>
      <c r="BZF60" s="299"/>
      <c r="BZG60" s="299"/>
      <c r="BZH60" s="299"/>
      <c r="BZI60" s="668" t="str">
        <f>L38</f>
        <v>Duurzaam materiaalgebruik (hoeveel x milieubelasting)</v>
      </c>
      <c r="BZJ60" s="669" t="e">
        <f t="shared" si="15"/>
        <v>#N/A</v>
      </c>
      <c r="BZK60" s="669" t="e">
        <f>SUM(BYY33:BYY34)</f>
        <v>#N/A</v>
      </c>
      <c r="BZL60" s="669" t="e">
        <f>SUM(BZC33:BZC34)</f>
        <v>#N/A</v>
      </c>
      <c r="BZM60" s="669" t="e">
        <f>SUM(BZG33:BZG34)</f>
        <v>#N/A</v>
      </c>
      <c r="BZN60" s="669" t="e">
        <f>SUM(BZK33:BZK34)</f>
        <v>#N/A</v>
      </c>
      <c r="BZO60" s="669" t="e">
        <f>SUM(BZO33:BZO34)</f>
        <v>#N/A</v>
      </c>
      <c r="BZP60" s="669" t="e">
        <f>SUM(BZS33:BZS34)</f>
        <v>#N/A</v>
      </c>
      <c r="BZQ60" s="669" t="e">
        <f>SUM(BZW33:BZW34)</f>
        <v>#N/A</v>
      </c>
      <c r="BZR60" s="299"/>
      <c r="BZS60" s="299"/>
      <c r="BZT60" s="299"/>
      <c r="BZU60" s="299"/>
      <c r="BZV60" s="299"/>
      <c r="BZW60" s="299"/>
      <c r="BZX60" s="299"/>
      <c r="BZY60" s="299"/>
    </row>
    <row r="61" spans="10:44 2022:2053" ht="25.8" hidden="1" x14ac:dyDescent="0.5">
      <c r="K61" s="175" t="s">
        <v>48</v>
      </c>
      <c r="L61" s="83" t="e">
        <f>BZJ63</f>
        <v>#N/A</v>
      </c>
      <c r="M61" s="49" t="e">
        <f>BZJ63</f>
        <v>#N/A</v>
      </c>
      <c r="N61" s="50" t="s">
        <v>119</v>
      </c>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183"/>
      <c r="AO61" s="20"/>
      <c r="AP61" s="627"/>
      <c r="AQ61" s="37"/>
      <c r="AR61" s="37"/>
      <c r="BYT61" s="299"/>
      <c r="BYU61" s="299"/>
      <c r="BYV61" s="299"/>
      <c r="BYW61" s="299"/>
      <c r="BYX61" s="299"/>
      <c r="BYY61" s="299"/>
      <c r="BYZ61" s="299"/>
      <c r="BZA61" s="299"/>
      <c r="BZB61" s="299"/>
      <c r="BZC61" s="299"/>
      <c r="BZD61" s="299"/>
      <c r="BZE61" s="299"/>
      <c r="BZF61" s="299"/>
      <c r="BZG61" s="299"/>
      <c r="BZH61" s="299"/>
      <c r="BZI61" s="668" t="str">
        <f>L41</f>
        <v>Ontwerp voor minimaal grondstof- en energiegebruik in de aanleg/gebruiksfase</v>
      </c>
      <c r="BZJ61" s="669" t="e">
        <f t="shared" si="15"/>
        <v>#N/A</v>
      </c>
      <c r="BZK61" s="669" t="e">
        <f>BYY35</f>
        <v>#N/A</v>
      </c>
      <c r="BZL61" s="669" t="e">
        <f>BZC35</f>
        <v>#N/A</v>
      </c>
      <c r="BZM61" s="669" t="e">
        <f>BZG35</f>
        <v>#N/A</v>
      </c>
      <c r="BZN61" s="669" t="e">
        <f>BZK35</f>
        <v>#N/A</v>
      </c>
      <c r="BZO61" s="669" t="e">
        <f>BZO35</f>
        <v>#N/A</v>
      </c>
      <c r="BZP61" s="669" t="e">
        <f>BZS35</f>
        <v>#N/A</v>
      </c>
      <c r="BZQ61" s="669" t="e">
        <f>BZW35</f>
        <v>#N/A</v>
      </c>
      <c r="BZR61" s="299"/>
      <c r="BZS61" s="299"/>
      <c r="BZT61" s="299"/>
      <c r="BZU61" s="299"/>
      <c r="BZV61" s="299"/>
      <c r="BZW61" s="299"/>
      <c r="BZX61" s="299"/>
      <c r="BZY61" s="299"/>
    </row>
    <row r="62" spans="10:44 2022:2053" ht="21" hidden="1" x14ac:dyDescent="0.4">
      <c r="K62" s="176"/>
      <c r="L62" s="177" t="e">
        <f>BZJ62</f>
        <v>#N/A</v>
      </c>
      <c r="M62" s="178" t="e">
        <f>BZJ62</f>
        <v>#N/A</v>
      </c>
      <c r="N62" s="188" t="s">
        <v>120</v>
      </c>
      <c r="O62" s="189"/>
      <c r="P62" s="189"/>
      <c r="Q62" s="189"/>
      <c r="R62" s="189"/>
      <c r="S62" s="189"/>
      <c r="T62" s="189"/>
      <c r="U62" s="38"/>
      <c r="V62" s="38"/>
      <c r="W62" s="38"/>
      <c r="X62" s="38"/>
      <c r="Y62" s="38"/>
      <c r="Z62" s="38"/>
      <c r="AA62" s="38"/>
      <c r="AB62" s="38"/>
      <c r="AC62" s="38"/>
      <c r="AD62" s="38"/>
      <c r="AE62" s="38"/>
      <c r="AF62" s="38"/>
      <c r="AG62" s="38"/>
      <c r="AH62" s="38"/>
      <c r="AI62" s="38"/>
      <c r="AJ62" s="38"/>
      <c r="AK62" s="38"/>
      <c r="AL62" s="38"/>
      <c r="AM62" s="38"/>
      <c r="AN62" s="184"/>
      <c r="AO62" s="38"/>
      <c r="AP62" s="628"/>
      <c r="AQ62" s="37"/>
      <c r="AR62" s="37"/>
      <c r="BYT62" s="299"/>
      <c r="BYU62" s="299"/>
      <c r="BYV62" s="299"/>
      <c r="BYW62" s="299"/>
      <c r="BYX62" s="299"/>
      <c r="BYY62" s="299"/>
      <c r="BYZ62" s="299"/>
      <c r="BZA62" s="299"/>
      <c r="BZB62" s="299"/>
      <c r="BZC62" s="299"/>
      <c r="BZD62" s="299"/>
      <c r="BZE62" s="299"/>
      <c r="BZF62" s="299"/>
      <c r="BZG62" s="299"/>
      <c r="BZH62" s="299"/>
      <c r="BZI62" s="668" t="s">
        <v>121</v>
      </c>
      <c r="BZJ62" s="669" t="e">
        <f t="shared" si="15"/>
        <v>#N/A</v>
      </c>
      <c r="BZK62" s="669" t="e">
        <f>100-BZK63</f>
        <v>#N/A</v>
      </c>
      <c r="BZL62" s="669" t="e">
        <f>100-BZL63</f>
        <v>#N/A</v>
      </c>
      <c r="BZM62" s="669" t="e">
        <f t="shared" ref="BZM62:BZQ62" si="16">100-BZM63</f>
        <v>#N/A</v>
      </c>
      <c r="BZN62" s="669" t="e">
        <f t="shared" si="16"/>
        <v>#N/A</v>
      </c>
      <c r="BZO62" s="669" t="e">
        <f t="shared" si="16"/>
        <v>#N/A</v>
      </c>
      <c r="BZP62" s="669" t="e">
        <f t="shared" si="16"/>
        <v>#N/A</v>
      </c>
      <c r="BZQ62" s="669" t="e">
        <f t="shared" si="16"/>
        <v>#N/A</v>
      </c>
      <c r="BZR62" s="299"/>
      <c r="BZS62" s="299"/>
      <c r="BZT62" s="299"/>
      <c r="BZU62" s="299"/>
      <c r="BZV62" s="299"/>
      <c r="BZW62" s="299"/>
      <c r="BZX62" s="299"/>
      <c r="BZY62" s="299"/>
    </row>
    <row r="63" spans="10:44 2022:2053" ht="33.6" customHeight="1" x14ac:dyDescent="0.3">
      <c r="AQ63" s="37"/>
      <c r="AR63" s="37"/>
      <c r="BYT63" s="299"/>
      <c r="BYU63" s="299"/>
      <c r="BYV63" s="299"/>
      <c r="BYW63" s="299"/>
      <c r="BYX63" s="299"/>
      <c r="BYY63" s="299"/>
      <c r="BYZ63" s="299"/>
      <c r="BZA63" s="299"/>
      <c r="BZB63" s="299"/>
      <c r="BZC63" s="299"/>
      <c r="BZD63" s="299"/>
      <c r="BZE63" s="299"/>
      <c r="BZF63" s="299"/>
      <c r="BZG63" s="299"/>
      <c r="BZH63" s="299"/>
      <c r="BZI63" s="299" t="s">
        <v>122</v>
      </c>
      <c r="BZJ63" s="670" t="e">
        <f>ROUND(SUM(BZJ54:BZJ61),0)</f>
        <v>#N/A</v>
      </c>
      <c r="BZK63" s="670" t="e">
        <f t="shared" ref="BZK63" si="17">SUM(BZK54:BZK61)</f>
        <v>#N/A</v>
      </c>
      <c r="BZL63" s="670" t="e">
        <f t="shared" ref="BZL63:BZQ63" si="18">SUM(BZL54:BZL61)</f>
        <v>#N/A</v>
      </c>
      <c r="BZM63" s="670" t="e">
        <f t="shared" si="18"/>
        <v>#N/A</v>
      </c>
      <c r="BZN63" s="670" t="e">
        <f t="shared" si="18"/>
        <v>#N/A</v>
      </c>
      <c r="BZO63" s="670" t="e">
        <f t="shared" si="18"/>
        <v>#N/A</v>
      </c>
      <c r="BZP63" s="670" t="e">
        <f t="shared" si="18"/>
        <v>#N/A</v>
      </c>
      <c r="BZQ63" s="670" t="e">
        <f t="shared" si="18"/>
        <v>#N/A</v>
      </c>
      <c r="BZR63" s="299"/>
      <c r="BZS63" s="299"/>
      <c r="BZT63" s="299"/>
      <c r="BZU63" s="299"/>
      <c r="BZV63" s="299"/>
      <c r="BZW63" s="299"/>
      <c r="BZX63" s="299"/>
      <c r="BZY63" s="299"/>
    </row>
    <row r="64" spans="10:44 2022:2053" x14ac:dyDescent="0.3">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183"/>
      <c r="AO64" s="20"/>
      <c r="AP64" s="126"/>
      <c r="AQ64" s="37"/>
      <c r="AR64" s="37"/>
      <c r="BYT64" s="299"/>
      <c r="BYU64" s="299"/>
      <c r="BYV64" s="299"/>
      <c r="BYW64" s="299"/>
      <c r="BYX64" s="299"/>
      <c r="BYY64" s="299"/>
      <c r="BYZ64" s="299"/>
      <c r="BZA64" s="299"/>
      <c r="BZB64" s="299"/>
      <c r="BZC64" s="299"/>
      <c r="BZD64" s="299"/>
      <c r="BZE64" s="299"/>
      <c r="BZF64" s="299"/>
      <c r="BZG64" s="299"/>
      <c r="BZH64" s="299"/>
      <c r="BZI64" s="299"/>
      <c r="BZJ64" s="299"/>
      <c r="BZK64" s="299">
        <f t="shared" ref="BZK64:BZQ64" si="19">IF($K$47/BZK52=1,1,0)</f>
        <v>0</v>
      </c>
      <c r="BZL64" s="299">
        <f t="shared" si="19"/>
        <v>1</v>
      </c>
      <c r="BZM64" s="299">
        <f t="shared" si="19"/>
        <v>0</v>
      </c>
      <c r="BZN64" s="299">
        <f t="shared" si="19"/>
        <v>0</v>
      </c>
      <c r="BZO64" s="299">
        <f t="shared" si="19"/>
        <v>0</v>
      </c>
      <c r="BZP64" s="299">
        <f t="shared" si="19"/>
        <v>0</v>
      </c>
      <c r="BZQ64" s="299">
        <f t="shared" si="19"/>
        <v>0</v>
      </c>
      <c r="BZR64" s="299"/>
      <c r="BZS64" s="299"/>
      <c r="BZT64" s="299"/>
      <c r="BZU64" s="299"/>
      <c r="BZV64" s="299"/>
      <c r="BZW64" s="299"/>
      <c r="BZX64" s="299"/>
      <c r="BZY64" s="299"/>
    </row>
    <row r="65" spans="11:44 2022:2053" ht="18" x14ac:dyDescent="0.35">
      <c r="K65" s="593"/>
      <c r="L65" s="594" t="str">
        <f>"Referentiemonitor Circulaire Peiler - Overzicht MKI / MCI (CB'23) / CO2 quotiënten van de "&amp;N8</f>
        <v>Referentiemonitor Circulaire Peiler - Overzicht MKI / MCI (CB'23) / CO2 quotiënten van de verkenningsfase</v>
      </c>
      <c r="M65" s="595"/>
      <c r="N65" s="595"/>
      <c r="O65" s="595"/>
      <c r="P65" s="595"/>
      <c r="Q65" s="595"/>
      <c r="R65" s="595"/>
      <c r="S65" s="595"/>
      <c r="T65" s="595"/>
      <c r="U65" s="595"/>
      <c r="V65" s="595"/>
      <c r="W65" s="595"/>
      <c r="X65" s="595"/>
      <c r="Y65" s="595"/>
      <c r="Z65" s="595"/>
      <c r="AA65" s="595"/>
      <c r="AB65" s="595"/>
      <c r="AC65" s="595"/>
      <c r="AD65" s="595"/>
      <c r="AE65" s="595"/>
      <c r="AF65" s="595"/>
      <c r="AG65" s="595"/>
      <c r="AH65" s="595"/>
      <c r="AI65" s="595"/>
      <c r="AJ65" s="595"/>
      <c r="AK65" s="595"/>
      <c r="AL65" s="604" t="s">
        <v>319</v>
      </c>
      <c r="AM65" s="595"/>
      <c r="AN65" s="596"/>
      <c r="AO65" s="595"/>
      <c r="AP65" s="630"/>
      <c r="AQ65" s="37"/>
      <c r="AR65" s="37"/>
      <c r="BYT65" s="299"/>
      <c r="BYU65" s="299"/>
      <c r="BYV65" s="299"/>
      <c r="BYW65" s="299"/>
      <c r="BYX65" s="299"/>
      <c r="BYY65" s="299"/>
      <c r="BYZ65" s="299"/>
      <c r="BZA65" s="299"/>
      <c r="BZB65" s="299"/>
      <c r="BZC65" s="299"/>
      <c r="BZD65" s="299"/>
      <c r="BZE65" s="299"/>
      <c r="BZF65" s="299"/>
      <c r="BZG65" s="299"/>
      <c r="BZH65" s="299"/>
      <c r="BZI65" s="299"/>
      <c r="BZJ65" s="299"/>
      <c r="BZK65" s="299"/>
      <c r="BZL65" s="299"/>
      <c r="BZM65" s="299"/>
      <c r="BZN65" s="299"/>
      <c r="BZO65" s="299"/>
      <c r="BZP65" s="299"/>
      <c r="BZQ65" s="299"/>
      <c r="BZR65" s="299"/>
      <c r="BZS65" s="299"/>
      <c r="BZT65" s="299"/>
      <c r="BZU65" s="299"/>
      <c r="BZV65" s="299"/>
      <c r="BZW65" s="299"/>
      <c r="BZX65" s="299"/>
      <c r="BZY65" s="299"/>
    </row>
    <row r="66" spans="11:44 2022:2053" ht="18" x14ac:dyDescent="0.35">
      <c r="K66" s="608" t="s">
        <v>123</v>
      </c>
      <c r="L66" s="474"/>
      <c r="M66" s="474"/>
      <c r="N66" s="474"/>
      <c r="O66" s="20"/>
      <c r="P66" s="20"/>
      <c r="Q66" s="20"/>
      <c r="R66" s="20"/>
      <c r="S66" s="20"/>
      <c r="T66" s="20"/>
      <c r="U66" s="20"/>
      <c r="V66" s="20"/>
      <c r="W66" s="20"/>
      <c r="X66" s="20"/>
      <c r="Y66" s="20"/>
      <c r="Z66" s="20"/>
      <c r="AA66" s="20"/>
      <c r="AB66" s="20"/>
      <c r="AC66" s="20"/>
      <c r="AD66" s="20"/>
      <c r="AE66" s="20"/>
      <c r="AF66" s="20"/>
      <c r="AG66" s="20"/>
      <c r="AH66" s="20"/>
      <c r="AI66" s="20"/>
      <c r="AJ66" s="20"/>
      <c r="AK66" s="20"/>
      <c r="AL66" s="609" t="str">
        <f>"MKI referentie = €"&amp;" "&amp;N68&amp;""</f>
        <v xml:space="preserve">MKI referentie = € </v>
      </c>
      <c r="AM66" s="612"/>
      <c r="AN66" s="613"/>
      <c r="AO66" s="612"/>
      <c r="AP66" s="631"/>
      <c r="AQ66" s="37"/>
      <c r="AR66" s="37"/>
      <c r="BYT66" s="299"/>
      <c r="BYU66" s="299"/>
      <c r="BYV66" s="299"/>
      <c r="BYW66" s="299"/>
      <c r="BYX66" s="299"/>
      <c r="BYY66" s="299"/>
      <c r="BYZ66" s="299"/>
      <c r="BZA66" s="299"/>
      <c r="BZB66" s="299"/>
      <c r="BZC66" s="299"/>
      <c r="BZD66" s="299"/>
      <c r="BZE66" s="299"/>
      <c r="BZF66" s="299"/>
      <c r="BZG66" s="299"/>
      <c r="BZH66" s="299"/>
      <c r="BZI66" s="299"/>
      <c r="BZJ66" s="299"/>
      <c r="BZK66" s="299"/>
      <c r="BZL66" s="299"/>
      <c r="BZM66" s="299"/>
      <c r="BZN66" s="299"/>
      <c r="BZO66" s="299"/>
      <c r="BZP66" s="299"/>
      <c r="BZQ66" s="299"/>
      <c r="BZR66" s="299"/>
      <c r="BZS66" s="299"/>
      <c r="BZT66" s="299"/>
      <c r="BZU66" s="299"/>
      <c r="BZV66" s="299"/>
      <c r="BZW66" s="299"/>
      <c r="BZX66" s="299"/>
      <c r="BZY66" s="299"/>
    </row>
    <row r="67" spans="11:44 2022:2053" ht="18" x14ac:dyDescent="0.35">
      <c r="K67" s="597" t="s">
        <v>124</v>
      </c>
      <c r="L67" s="236"/>
      <c r="M67" s="551" t="str">
        <f>IF(N67="","         voer hier de MKI van het project in","")</f>
        <v xml:space="preserve">         voer hier de MKI van het project in</v>
      </c>
      <c r="N67" s="586"/>
      <c r="O67" s="20"/>
      <c r="P67" s="20"/>
      <c r="Q67" s="20"/>
      <c r="R67" s="20"/>
      <c r="S67" s="20"/>
      <c r="T67" s="20"/>
      <c r="U67" s="20"/>
      <c r="V67" s="20"/>
      <c r="W67" s="20"/>
      <c r="X67" s="20"/>
      <c r="Y67" s="20"/>
      <c r="Z67" s="20"/>
      <c r="AA67" s="20"/>
      <c r="AB67" s="20"/>
      <c r="AC67" s="20"/>
      <c r="AD67" s="20"/>
      <c r="AE67" s="20"/>
      <c r="AF67" s="20"/>
      <c r="AG67" s="20"/>
      <c r="AH67" s="20"/>
      <c r="AI67" s="20"/>
      <c r="AJ67" s="20"/>
      <c r="AK67" s="20"/>
      <c r="AL67" s="605" t="str">
        <f>"MKI reductie"</f>
        <v>MKI reductie</v>
      </c>
      <c r="AM67" s="20"/>
      <c r="AN67" s="259" t="str">
        <f>"MKI reductie t.o.v. referentie € "&amp;N68</f>
        <v xml:space="preserve">MKI reductie t.o.v. referentie € </v>
      </c>
      <c r="AO67" s="639" t="e">
        <f>1-AP67</f>
        <v>#VALUE!</v>
      </c>
      <c r="AP67" s="632" t="str">
        <f>IF(N68=0,"?",(1-N67/(N68+0.0000001)))</f>
        <v>?</v>
      </c>
      <c r="AQ67" s="37"/>
      <c r="AR67" s="780"/>
      <c r="BYT67" s="299"/>
      <c r="BYU67" s="299"/>
      <c r="BYV67" s="299"/>
      <c r="BYW67" s="299"/>
      <c r="BYX67" s="299"/>
      <c r="BYY67" s="299"/>
      <c r="BYZ67" s="299"/>
      <c r="BZA67" s="299"/>
      <c r="BZB67" s="299"/>
      <c r="BZC67" s="299"/>
      <c r="BZD67" s="299"/>
      <c r="BZE67" s="299"/>
      <c r="BZF67" s="299"/>
      <c r="BZG67" s="299"/>
      <c r="BZH67" s="299"/>
      <c r="BZI67" s="299"/>
      <c r="BZJ67" s="299"/>
      <c r="BZK67" s="299"/>
      <c r="BZL67" s="299"/>
      <c r="BZM67" s="299"/>
      <c r="BZN67" s="299"/>
      <c r="BZO67" s="299"/>
      <c r="BZP67" s="299"/>
      <c r="BZQ67" s="299"/>
      <c r="BZR67" s="299"/>
      <c r="BZS67" s="299"/>
      <c r="BZT67" s="299"/>
      <c r="BZU67" s="299"/>
      <c r="BZV67" s="299"/>
      <c r="BZW67" s="299"/>
      <c r="BZX67" s="299"/>
      <c r="BZY67" s="299"/>
    </row>
    <row r="68" spans="11:44 2022:2053" ht="18" x14ac:dyDescent="0.35">
      <c r="K68" s="597" t="s">
        <v>125</v>
      </c>
      <c r="L68" s="236"/>
      <c r="M68" s="551" t="str">
        <f>IF(N68="","         voer hier de MKI van het referentieobject/project in","")</f>
        <v xml:space="preserve">         voer hier de MKI van het referentieobject/project in</v>
      </c>
      <c r="N68" s="586"/>
      <c r="O68" s="20"/>
      <c r="P68" s="20"/>
      <c r="Q68" s="20"/>
      <c r="R68" s="20"/>
      <c r="S68" s="20"/>
      <c r="T68" s="20"/>
      <c r="U68" s="20"/>
      <c r="V68" s="20"/>
      <c r="W68" s="20"/>
      <c r="X68" s="20"/>
      <c r="Y68" s="20"/>
      <c r="Z68" s="20"/>
      <c r="AA68" s="20"/>
      <c r="AB68" s="20"/>
      <c r="AC68" s="20"/>
      <c r="AD68" s="20"/>
      <c r="AE68" s="20"/>
      <c r="AF68" s="20"/>
      <c r="AG68" s="20"/>
      <c r="AH68" s="20"/>
      <c r="AI68" s="20"/>
      <c r="AJ68" s="20"/>
      <c r="AK68" s="20"/>
      <c r="AL68" s="236" t="s">
        <v>126</v>
      </c>
      <c r="AM68" s="20"/>
      <c r="AN68" s="183"/>
      <c r="AO68" s="20"/>
      <c r="AP68" s="633" t="str">
        <f>IF(AP67="?","?",N67/(N68+0.000001))</f>
        <v>?</v>
      </c>
      <c r="AQ68" s="37"/>
      <c r="AR68" s="780"/>
    </row>
    <row r="69" spans="11:44 2022:2053" ht="18" x14ac:dyDescent="0.35">
      <c r="K69" s="598"/>
      <c r="L69" s="295"/>
      <c r="M69" s="295"/>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183"/>
      <c r="AO69" s="20"/>
      <c r="AP69" s="634" t="e">
        <f>1-AP67</f>
        <v>#VALUE!</v>
      </c>
      <c r="AQ69" s="37"/>
      <c r="AR69" s="37"/>
    </row>
    <row r="70" spans="11:44 2022:2053" ht="18" x14ac:dyDescent="0.35">
      <c r="K70" s="607" t="s">
        <v>347</v>
      </c>
      <c r="L70" s="475"/>
      <c r="M70" s="475"/>
      <c r="N70" s="475"/>
      <c r="O70" s="20"/>
      <c r="P70" s="20"/>
      <c r="Q70" s="20"/>
      <c r="R70" s="20"/>
      <c r="S70" s="20"/>
      <c r="T70" s="20"/>
      <c r="U70" s="20"/>
      <c r="V70" s="20"/>
      <c r="W70" s="20"/>
      <c r="X70" s="20"/>
      <c r="Y70" s="20"/>
      <c r="Z70" s="20"/>
      <c r="AA70" s="20"/>
      <c r="AB70" s="20"/>
      <c r="AC70" s="20"/>
      <c r="AD70" s="20"/>
      <c r="AE70" s="20"/>
      <c r="AF70" s="20"/>
      <c r="AG70" s="20"/>
      <c r="AH70" s="20"/>
      <c r="AI70" s="20"/>
      <c r="AJ70" s="20"/>
      <c r="AK70" s="20"/>
      <c r="AL70" s="610" t="str">
        <f>"MCI referentie ="&amp;" "&amp;N72&amp;"[-]"</f>
        <v>MCI referentie = [-]</v>
      </c>
      <c r="AM70" s="614"/>
      <c r="AN70" s="615"/>
      <c r="AO70" s="614"/>
      <c r="AP70" s="635"/>
      <c r="AQ70" s="37"/>
      <c r="AR70" s="37"/>
    </row>
    <row r="71" spans="11:44 2022:2053" ht="18" x14ac:dyDescent="0.35">
      <c r="K71" s="597" t="s">
        <v>345</v>
      </c>
      <c r="L71" s="236"/>
      <c r="M71" s="551" t="str">
        <f>IF(N71="","         voer hier de circulariteitsindex (CI) van het project in volgens bijlage G kernmeetmethode CB'23","")</f>
        <v xml:space="preserve">         voer hier de circulariteitsindex (CI) van het project in volgens bijlage G kernmeetmethode CB'23</v>
      </c>
      <c r="N71" s="652"/>
      <c r="O71" s="20"/>
      <c r="P71" s="20"/>
      <c r="Q71" s="20"/>
      <c r="R71" s="20"/>
      <c r="S71" s="20"/>
      <c r="T71" s="20"/>
      <c r="U71" s="20"/>
      <c r="V71" s="20"/>
      <c r="W71" s="20"/>
      <c r="X71" s="20"/>
      <c r="Y71" s="20"/>
      <c r="Z71" s="20"/>
      <c r="AA71" s="20"/>
      <c r="AB71" s="20"/>
      <c r="AC71" s="20"/>
      <c r="AD71" s="20"/>
      <c r="AE71" s="20"/>
      <c r="AF71" s="20"/>
      <c r="AG71" s="20"/>
      <c r="AH71" s="20"/>
      <c r="AI71" s="20"/>
      <c r="AJ71" s="20"/>
      <c r="AK71" s="20"/>
      <c r="AL71" s="605" t="str">
        <f>"MCI reductie"</f>
        <v>MCI reductie</v>
      </c>
      <c r="AM71" s="20"/>
      <c r="AN71" s="259" t="str">
        <f>"MCI reductie t.o.v. referentie "&amp;N72&amp;" [-]"</f>
        <v>MCI reductie t.o.v. referentie  [-]</v>
      </c>
      <c r="AO71" s="639" t="e">
        <f>1-AP71</f>
        <v>#VALUE!</v>
      </c>
      <c r="AP71" s="632" t="str">
        <f>IF(N72=0,"?",N71-N72)</f>
        <v>?</v>
      </c>
      <c r="AQ71" s="37"/>
      <c r="AR71" s="780"/>
    </row>
    <row r="72" spans="11:44 2022:2053" ht="18" x14ac:dyDescent="0.35">
      <c r="K72" s="597" t="s">
        <v>346</v>
      </c>
      <c r="L72" s="236"/>
      <c r="M72" s="551" t="str">
        <f>IF(N72="","         voer hier de circulariteitsindex (MCI) van het referentieobject/project in volgens bijlage G kernmeetmethode CB'23","")</f>
        <v xml:space="preserve">         voer hier de circulariteitsindex (MCI) van het referentieobject/project in volgens bijlage G kernmeetmethode CB'23</v>
      </c>
      <c r="N72" s="653"/>
      <c r="O72" s="20"/>
      <c r="P72" s="20"/>
      <c r="Q72" s="20"/>
      <c r="R72" s="20"/>
      <c r="S72" s="20"/>
      <c r="T72" s="20"/>
      <c r="U72" s="20"/>
      <c r="V72" s="20"/>
      <c r="W72" s="20"/>
      <c r="X72" s="20"/>
      <c r="Y72" s="20"/>
      <c r="Z72" s="20"/>
      <c r="AA72" s="20"/>
      <c r="AB72" s="20"/>
      <c r="AC72" s="20"/>
      <c r="AD72" s="20"/>
      <c r="AE72" s="20"/>
      <c r="AF72" s="20"/>
      <c r="AG72" s="20"/>
      <c r="AH72" s="20"/>
      <c r="AI72" s="20"/>
      <c r="AJ72" s="20"/>
      <c r="AK72" s="20"/>
      <c r="AL72" s="236" t="s">
        <v>348</v>
      </c>
      <c r="AM72" s="20"/>
      <c r="AN72" s="183"/>
      <c r="AO72" s="20"/>
      <c r="AP72" s="633" t="str">
        <f>IF(AP71="?","?",1-AP71)</f>
        <v>?</v>
      </c>
      <c r="AQ72" s="37"/>
      <c r="AR72" s="780"/>
    </row>
    <row r="73" spans="11:44 2022:2053" x14ac:dyDescent="0.3">
      <c r="K73" s="598"/>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183"/>
      <c r="AO73" s="20"/>
      <c r="AP73" s="634" t="e">
        <f>1-AP71</f>
        <v>#VALUE!</v>
      </c>
      <c r="AQ73" s="37"/>
      <c r="AR73" s="37"/>
    </row>
    <row r="74" spans="11:44 2022:2053" ht="20.399999999999999" x14ac:dyDescent="0.45">
      <c r="K74" s="606" t="s">
        <v>320</v>
      </c>
      <c r="L74" s="476"/>
      <c r="M74" s="476"/>
      <c r="N74" s="476"/>
      <c r="O74" s="20"/>
      <c r="P74" s="20"/>
      <c r="Q74" s="20"/>
      <c r="R74" s="20"/>
      <c r="S74" s="20"/>
      <c r="T74" s="20"/>
      <c r="U74" s="20"/>
      <c r="V74" s="20"/>
      <c r="W74" s="20"/>
      <c r="X74" s="20"/>
      <c r="Y74" s="20"/>
      <c r="Z74" s="20"/>
      <c r="AA74" s="20"/>
      <c r="AB74" s="20"/>
      <c r="AC74" s="20"/>
      <c r="AD74" s="20"/>
      <c r="AE74" s="20"/>
      <c r="AF74" s="20"/>
      <c r="AG74" s="20"/>
      <c r="AH74" s="20"/>
      <c r="AI74" s="20"/>
      <c r="AJ74" s="20"/>
      <c r="AK74" s="20"/>
      <c r="AL74" s="611" t="str">
        <f>"CO2 referentie ="&amp;" "&amp;N76&amp;" ton CO2"</f>
        <v>CO2 referentie =  ton CO2</v>
      </c>
      <c r="AM74" s="139"/>
      <c r="AN74" s="616"/>
      <c r="AO74" s="139"/>
      <c r="AP74" s="636"/>
      <c r="AQ74" s="37"/>
      <c r="AR74" s="37"/>
    </row>
    <row r="75" spans="11:44 2022:2053" ht="20.399999999999999" x14ac:dyDescent="0.45">
      <c r="K75" s="597" t="s">
        <v>310</v>
      </c>
      <c r="L75" s="236"/>
      <c r="M75" s="551" t="str">
        <f>IF(N75="","         voer hier de CO2 uitstoot van het project in","")</f>
        <v xml:space="preserve">         voer hier de CO2 uitstoot van het project in</v>
      </c>
      <c r="N75" s="586"/>
      <c r="O75" s="20"/>
      <c r="P75" s="20"/>
      <c r="Q75" s="20"/>
      <c r="R75" s="20"/>
      <c r="S75" s="20"/>
      <c r="T75" s="20"/>
      <c r="U75" s="20"/>
      <c r="V75" s="20"/>
      <c r="W75" s="20"/>
      <c r="X75" s="20"/>
      <c r="Y75" s="20"/>
      <c r="Z75" s="20"/>
      <c r="AA75" s="20"/>
      <c r="AB75" s="20"/>
      <c r="AC75" s="20"/>
      <c r="AD75" s="20"/>
      <c r="AE75" s="20"/>
      <c r="AF75" s="20"/>
      <c r="AG75" s="20"/>
      <c r="AH75" s="20"/>
      <c r="AI75" s="20"/>
      <c r="AJ75" s="20"/>
      <c r="AK75" s="20"/>
      <c r="AL75" s="592" t="str">
        <f>"CO2 reductie"</f>
        <v>CO2 reductie</v>
      </c>
      <c r="AM75" s="20"/>
      <c r="AN75" s="259" t="str">
        <f>"CO2 reductie t.o.v. referentie "&amp;N76&amp;" tonCO2"</f>
        <v>CO2 reductie t.o.v. referentie  tonCO2</v>
      </c>
      <c r="AO75" s="639" t="e">
        <f>1-AP75</f>
        <v>#VALUE!</v>
      </c>
      <c r="AP75" s="637" t="str">
        <f>IF(N76=0,"?",1-N75/(N76+0.0000001))</f>
        <v>?</v>
      </c>
      <c r="AQ75" s="37"/>
      <c r="AR75" s="780"/>
    </row>
    <row r="76" spans="11:44 2022:2053" ht="17.399999999999999" customHeight="1" x14ac:dyDescent="0.45">
      <c r="K76" s="597" t="s">
        <v>311</v>
      </c>
      <c r="L76" s="236"/>
      <c r="M76" s="551" t="str">
        <f>IF(N76="","         voer hier de CO2 uitstoot van het referentieobject/project in","")</f>
        <v xml:space="preserve">         voer hier de CO2 uitstoot van het referentieobject/project in</v>
      </c>
      <c r="N76" s="587"/>
      <c r="O76" s="20"/>
      <c r="P76" s="20"/>
      <c r="Q76" s="20"/>
      <c r="R76" s="20"/>
      <c r="S76" s="20"/>
      <c r="T76" s="20"/>
      <c r="U76" s="20"/>
      <c r="V76" s="20"/>
      <c r="W76" s="20"/>
      <c r="X76" s="20"/>
      <c r="Y76" s="20"/>
      <c r="Z76" s="20"/>
      <c r="AA76" s="20"/>
      <c r="AB76" s="20"/>
      <c r="AC76" s="20"/>
      <c r="AD76" s="20"/>
      <c r="AE76" s="20"/>
      <c r="AF76" s="20"/>
      <c r="AG76" s="20"/>
      <c r="AH76" s="20"/>
      <c r="AI76" s="20"/>
      <c r="AJ76" s="20"/>
      <c r="AK76" s="20"/>
      <c r="AL76" s="236" t="s">
        <v>312</v>
      </c>
      <c r="AM76" s="20"/>
      <c r="AN76" s="183"/>
      <c r="AO76" s="20"/>
      <c r="AP76" s="633" t="str">
        <f>IF(AP75="?","?",N75/(N76+0.000001))</f>
        <v>?</v>
      </c>
      <c r="AQ76" s="37"/>
      <c r="AR76" s="780"/>
    </row>
    <row r="77" spans="11:44 2022:2053" ht="14.4" customHeight="1" x14ac:dyDescent="0.35">
      <c r="K77" s="599"/>
      <c r="L77" s="600"/>
      <c r="M77" s="600"/>
      <c r="N77" s="601"/>
      <c r="O77" s="602"/>
      <c r="P77" s="602"/>
      <c r="Q77" s="602"/>
      <c r="R77" s="602"/>
      <c r="S77" s="602"/>
      <c r="T77" s="602"/>
      <c r="U77" s="602"/>
      <c r="V77" s="602"/>
      <c r="W77" s="602"/>
      <c r="X77" s="602"/>
      <c r="Y77" s="602"/>
      <c r="Z77" s="602"/>
      <c r="AA77" s="602"/>
      <c r="AB77" s="602"/>
      <c r="AC77" s="602"/>
      <c r="AD77" s="602"/>
      <c r="AE77" s="602"/>
      <c r="AF77" s="602"/>
      <c r="AG77" s="602"/>
      <c r="AH77" s="602"/>
      <c r="AI77" s="602"/>
      <c r="AJ77" s="602"/>
      <c r="AK77" s="602"/>
      <c r="AL77" s="602"/>
      <c r="AM77" s="602"/>
      <c r="AN77" s="603"/>
      <c r="AO77" s="602"/>
      <c r="AP77" s="638" t="e">
        <f>1-AP75</f>
        <v>#VALUE!</v>
      </c>
      <c r="AQ77" s="37"/>
      <c r="AR77" s="37"/>
    </row>
    <row r="78" spans="11:44 2022:2053" ht="14.4" customHeight="1" x14ac:dyDescent="0.3">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183"/>
      <c r="AO78" s="20"/>
      <c r="AP78" s="126"/>
      <c r="AQ78" s="37"/>
      <c r="AR78" s="37"/>
    </row>
    <row r="79" spans="11:44 2022:2053" x14ac:dyDescent="0.3">
      <c r="AQ79" s="37"/>
      <c r="AR79" s="37"/>
    </row>
    <row r="80" spans="11:44 2022:2053" x14ac:dyDescent="0.3">
      <c r="AQ80" s="37"/>
      <c r="AR80" s="37"/>
    </row>
    <row r="81" spans="12:58" ht="18" x14ac:dyDescent="0.35">
      <c r="L81" s="296"/>
      <c r="M81" s="296"/>
      <c r="O81" s="20"/>
      <c r="P81" s="20"/>
      <c r="Q81" s="20"/>
      <c r="R81" s="20"/>
      <c r="S81" s="20"/>
      <c r="T81" s="20"/>
      <c r="U81" s="20"/>
      <c r="V81" s="20"/>
      <c r="W81" s="20"/>
      <c r="X81" s="20"/>
      <c r="Y81" s="20"/>
      <c r="Z81" s="20"/>
      <c r="AA81" s="20"/>
      <c r="AB81" s="20"/>
      <c r="AC81" s="20"/>
      <c r="AD81" s="20"/>
      <c r="AE81" s="20"/>
      <c r="AF81" s="20"/>
      <c r="AG81" s="20"/>
      <c r="AH81" s="20"/>
      <c r="AI81" s="20"/>
      <c r="AJ81" s="20"/>
      <c r="AK81" s="20"/>
      <c r="AM81" s="20"/>
      <c r="AN81" s="183"/>
      <c r="AO81" s="20"/>
      <c r="AP81" s="126"/>
      <c r="AQ81" s="37"/>
      <c r="AR81" s="37"/>
    </row>
    <row r="82" spans="12:58" x14ac:dyDescent="0.3">
      <c r="L82" s="20"/>
      <c r="M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183"/>
      <c r="AO82" s="20"/>
      <c r="AP82" s="126"/>
      <c r="AQ82" s="37"/>
      <c r="AR82" s="37"/>
    </row>
    <row r="83" spans="12:58" x14ac:dyDescent="0.3">
      <c r="AQ83" s="37"/>
      <c r="AR83" s="37"/>
    </row>
    <row r="84" spans="12:58" x14ac:dyDescent="0.3">
      <c r="AQ84" s="37"/>
      <c r="AR84" s="37"/>
    </row>
    <row r="85" spans="12:58" x14ac:dyDescent="0.3">
      <c r="AQ85" s="37"/>
      <c r="AR85" s="37"/>
    </row>
    <row r="86" spans="12:58" x14ac:dyDescent="0.3">
      <c r="AQ86" s="37"/>
      <c r="AR86" s="37"/>
    </row>
    <row r="87" spans="12:58" x14ac:dyDescent="0.3">
      <c r="AQ87" s="37"/>
      <c r="AR87" s="37"/>
    </row>
    <row r="88" spans="12:58" ht="21" x14ac:dyDescent="0.4">
      <c r="L88" s="40"/>
      <c r="AQ88" s="37"/>
      <c r="AR88" s="37"/>
    </row>
    <row r="89" spans="12:58" x14ac:dyDescent="0.3">
      <c r="AQ89" s="37"/>
      <c r="AR89" s="37"/>
    </row>
    <row r="90" spans="12:58" x14ac:dyDescent="0.3">
      <c r="AQ90" s="37"/>
      <c r="AR90" s="37"/>
    </row>
    <row r="91" spans="12:58" x14ac:dyDescent="0.3">
      <c r="N91" s="37"/>
      <c r="O91" s="37"/>
      <c r="P91" s="37"/>
      <c r="Q91" s="37"/>
      <c r="R91" s="37"/>
      <c r="S91" s="37"/>
      <c r="T91" s="37"/>
      <c r="U91" s="37"/>
      <c r="V91" s="37"/>
      <c r="W91" s="37"/>
      <c r="X91" s="37"/>
      <c r="Y91" s="37"/>
      <c r="Z91" s="37"/>
      <c r="AA91" s="37"/>
      <c r="AB91" s="37"/>
      <c r="AC91" s="37"/>
      <c r="AD91" s="37"/>
      <c r="AE91" s="37"/>
      <c r="AF91" s="37"/>
      <c r="AG91" s="37"/>
      <c r="AH91" s="37"/>
      <c r="AI91" s="37"/>
      <c r="AJ91" s="37"/>
      <c r="AK91" s="37"/>
      <c r="AL91" s="37"/>
      <c r="AM91" s="37"/>
      <c r="AN91" s="837"/>
      <c r="AO91" s="37"/>
      <c r="AP91" s="838"/>
      <c r="AQ91" s="37"/>
      <c r="AR91" s="37"/>
      <c r="AS91" s="37"/>
      <c r="AT91" s="37"/>
      <c r="AU91" s="37"/>
      <c r="AV91" s="37"/>
      <c r="AW91" s="37"/>
      <c r="AX91" s="37"/>
      <c r="AY91" s="37"/>
      <c r="AZ91" s="37"/>
      <c r="BA91" s="37"/>
      <c r="BB91" s="37"/>
      <c r="BC91" s="37"/>
      <c r="BD91" s="37"/>
      <c r="BE91" s="37"/>
      <c r="BF91" s="37"/>
    </row>
    <row r="92" spans="12:58" x14ac:dyDescent="0.3">
      <c r="N92" s="37"/>
      <c r="O92" s="37"/>
      <c r="P92" s="37"/>
      <c r="Q92" s="37"/>
      <c r="R92" s="37"/>
      <c r="S92" s="37"/>
      <c r="T92" s="37"/>
      <c r="U92" s="37"/>
      <c r="V92" s="37"/>
      <c r="W92" s="37"/>
      <c r="X92" s="37"/>
      <c r="Y92" s="37"/>
      <c r="Z92" s="37"/>
      <c r="AA92" s="37"/>
      <c r="AB92" s="37"/>
      <c r="AC92" s="37"/>
      <c r="AD92" s="37"/>
      <c r="AE92" s="37"/>
      <c r="AF92" s="37"/>
      <c r="AG92" s="37"/>
      <c r="AH92" s="37"/>
      <c r="AI92" s="37"/>
      <c r="AJ92" s="37"/>
      <c r="AK92" s="37"/>
      <c r="AL92" s="37"/>
      <c r="AM92" s="37"/>
      <c r="AN92" s="837"/>
      <c r="AO92" s="37"/>
      <c r="AP92" s="838"/>
      <c r="AQ92" s="37"/>
      <c r="AR92" s="37"/>
      <c r="AS92" s="37"/>
      <c r="AT92" s="37"/>
      <c r="AU92" s="37"/>
      <c r="AV92" s="37"/>
      <c r="AW92" s="37"/>
      <c r="AX92" s="37"/>
      <c r="AY92" s="37"/>
      <c r="AZ92" s="37"/>
      <c r="BA92" s="37"/>
      <c r="BB92" s="37"/>
      <c r="BC92" s="37"/>
      <c r="BD92" s="37"/>
      <c r="BE92" s="37"/>
      <c r="BF92" s="37"/>
    </row>
    <row r="93" spans="12:58" x14ac:dyDescent="0.3">
      <c r="N93" s="37"/>
      <c r="O93" s="37"/>
      <c r="P93" s="37"/>
      <c r="Q93" s="37"/>
      <c r="R93" s="37"/>
      <c r="S93" s="37"/>
      <c r="T93" s="37"/>
      <c r="U93" s="37"/>
      <c r="V93" s="37"/>
      <c r="W93" s="37"/>
      <c r="X93" s="37"/>
      <c r="Y93" s="37"/>
      <c r="Z93" s="37"/>
      <c r="AA93" s="37"/>
      <c r="AB93" s="37"/>
      <c r="AC93" s="37"/>
      <c r="AD93" s="37"/>
      <c r="AE93" s="37"/>
      <c r="AF93" s="37"/>
      <c r="AG93" s="37"/>
      <c r="AH93" s="37"/>
      <c r="AI93" s="37"/>
      <c r="AJ93" s="37"/>
      <c r="AK93" s="37"/>
      <c r="AL93" s="37"/>
      <c r="AM93" s="37"/>
      <c r="AN93" s="837"/>
      <c r="AO93" s="37"/>
      <c r="AP93" s="838"/>
      <c r="AQ93" s="37"/>
      <c r="AR93" s="37"/>
      <c r="AS93" s="37"/>
      <c r="AT93" s="37"/>
      <c r="AU93" s="37"/>
      <c r="AV93" s="37"/>
      <c r="AW93" s="37"/>
      <c r="AX93" s="37"/>
      <c r="AY93" s="37"/>
      <c r="AZ93" s="37"/>
      <c r="BA93" s="37"/>
      <c r="BB93" s="37"/>
      <c r="BC93" s="37"/>
      <c r="BD93" s="37"/>
      <c r="BE93" s="37"/>
      <c r="BF93" s="37"/>
    </row>
    <row r="94" spans="12:58" x14ac:dyDescent="0.3">
      <c r="N94" s="37"/>
      <c r="O94" s="37"/>
      <c r="P94" s="37"/>
      <c r="Q94" s="37"/>
      <c r="R94" s="37"/>
      <c r="S94" s="37"/>
      <c r="T94" s="37"/>
      <c r="U94" s="37"/>
      <c r="V94" s="37"/>
      <c r="W94" s="37"/>
      <c r="X94" s="37"/>
      <c r="Y94" s="37"/>
      <c r="Z94" s="37"/>
      <c r="AA94" s="37"/>
      <c r="AB94" s="37"/>
      <c r="AC94" s="37"/>
      <c r="AD94" s="37"/>
      <c r="AE94" s="37"/>
      <c r="AF94" s="37"/>
      <c r="AG94" s="37"/>
      <c r="AH94" s="37"/>
      <c r="AI94" s="37"/>
      <c r="AJ94" s="37"/>
      <c r="AK94" s="37"/>
      <c r="AL94" s="37"/>
      <c r="AM94" s="37"/>
      <c r="AN94" s="837"/>
      <c r="AO94" s="37"/>
      <c r="AP94" s="838"/>
      <c r="AQ94" s="37"/>
      <c r="AR94" s="37"/>
      <c r="AS94" s="37"/>
      <c r="AT94" s="37"/>
      <c r="AU94" s="37"/>
      <c r="AV94" s="37"/>
      <c r="AW94" s="37"/>
      <c r="AX94" s="37"/>
      <c r="AY94" s="37"/>
      <c r="AZ94" s="37"/>
      <c r="BA94" s="37"/>
      <c r="BB94" s="37"/>
      <c r="BC94" s="37"/>
      <c r="BD94" s="37"/>
      <c r="BE94" s="37"/>
      <c r="BF94" s="37"/>
    </row>
    <row r="95" spans="12:58" x14ac:dyDescent="0.3">
      <c r="N95" s="37"/>
      <c r="O95" s="37"/>
      <c r="P95" s="37"/>
      <c r="Q95" s="37"/>
      <c r="R95" s="37"/>
      <c r="S95" s="37"/>
      <c r="T95" s="37"/>
      <c r="U95" s="37"/>
      <c r="V95" s="37"/>
      <c r="W95" s="37"/>
      <c r="X95" s="37"/>
      <c r="Y95" s="37"/>
      <c r="Z95" s="37"/>
      <c r="AA95" s="37"/>
      <c r="AB95" s="37"/>
      <c r="AC95" s="37"/>
      <c r="AD95" s="37"/>
      <c r="AE95" s="37"/>
      <c r="AF95" s="37"/>
      <c r="AG95" s="37"/>
      <c r="AH95" s="37"/>
      <c r="AI95" s="37"/>
      <c r="AJ95" s="37"/>
      <c r="AK95" s="37"/>
      <c r="AL95" s="37"/>
      <c r="AM95" s="37"/>
      <c r="AN95" s="837"/>
      <c r="AO95" s="37"/>
      <c r="AP95" s="838"/>
      <c r="AQ95" s="37"/>
      <c r="AR95" s="37"/>
      <c r="AS95" s="37"/>
      <c r="AT95" s="37"/>
      <c r="AU95" s="37"/>
      <c r="AV95" s="37"/>
      <c r="AW95" s="37"/>
      <c r="AX95" s="37"/>
      <c r="AY95" s="37"/>
      <c r="AZ95" s="37"/>
      <c r="BA95" s="37"/>
      <c r="BB95" s="37"/>
      <c r="BC95" s="37"/>
      <c r="BD95" s="37"/>
      <c r="BE95" s="37"/>
      <c r="BF95" s="37"/>
    </row>
    <row r="96" spans="12:58" x14ac:dyDescent="0.3">
      <c r="N96" s="37"/>
      <c r="O96" s="37"/>
      <c r="P96" s="37"/>
      <c r="Q96" s="37"/>
      <c r="R96" s="37"/>
      <c r="S96" s="37"/>
      <c r="T96" s="37"/>
      <c r="U96" s="37"/>
      <c r="V96" s="37"/>
      <c r="W96" s="37"/>
      <c r="X96" s="37"/>
      <c r="Y96" s="37"/>
      <c r="Z96" s="37"/>
      <c r="AA96" s="37"/>
      <c r="AB96" s="37"/>
      <c r="AC96" s="37"/>
      <c r="AD96" s="37"/>
      <c r="AE96" s="37"/>
      <c r="AF96" s="37"/>
      <c r="AG96" s="37"/>
      <c r="AH96" s="37"/>
      <c r="AI96" s="37"/>
      <c r="AJ96" s="37"/>
      <c r="AK96" s="37"/>
      <c r="AL96" s="37"/>
      <c r="AM96" s="37"/>
      <c r="AN96" s="837"/>
      <c r="AO96" s="37"/>
      <c r="AP96" s="838"/>
      <c r="AQ96" s="37"/>
      <c r="AR96" s="37"/>
      <c r="AS96" s="37"/>
      <c r="AT96" s="37"/>
      <c r="AU96" s="37"/>
      <c r="AV96" s="37"/>
      <c r="AW96" s="37"/>
      <c r="AX96" s="37"/>
      <c r="AY96" s="37"/>
      <c r="AZ96" s="37"/>
      <c r="BA96" s="37"/>
      <c r="BB96" s="37"/>
      <c r="BC96" s="37"/>
      <c r="BD96" s="37"/>
      <c r="BE96" s="37"/>
      <c r="BF96" s="37"/>
    </row>
    <row r="97" spans="14:58" x14ac:dyDescent="0.3">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837"/>
      <c r="AO97" s="37"/>
      <c r="AP97" s="838"/>
      <c r="AQ97" s="37"/>
      <c r="AR97" s="37"/>
      <c r="AS97" s="37"/>
      <c r="AT97" s="37"/>
      <c r="AU97" s="37"/>
      <c r="AV97" s="37"/>
      <c r="AW97" s="37"/>
      <c r="AX97" s="37"/>
      <c r="AY97" s="37"/>
      <c r="AZ97" s="37"/>
      <c r="BA97" s="37"/>
      <c r="BB97" s="37"/>
      <c r="BC97" s="37"/>
      <c r="BD97" s="37"/>
      <c r="BE97" s="37"/>
      <c r="BF97" s="37"/>
    </row>
    <row r="98" spans="14:58" x14ac:dyDescent="0.3">
      <c r="N98" s="37"/>
      <c r="O98" s="37"/>
      <c r="P98" s="37"/>
      <c r="Q98" s="37"/>
      <c r="R98" s="37"/>
      <c r="S98" s="37"/>
      <c r="T98" s="37"/>
      <c r="U98" s="37"/>
      <c r="V98" s="37"/>
      <c r="W98" s="37"/>
      <c r="X98" s="37"/>
      <c r="Y98" s="37"/>
      <c r="Z98" s="37"/>
      <c r="AA98" s="37"/>
      <c r="AB98" s="37"/>
      <c r="AC98" s="37"/>
      <c r="AD98" s="37"/>
      <c r="AE98" s="37"/>
      <c r="AF98" s="37"/>
      <c r="AG98" s="37"/>
      <c r="AH98" s="37"/>
      <c r="AI98" s="37"/>
      <c r="AJ98" s="37"/>
      <c r="AK98" s="37"/>
      <c r="AL98" s="37"/>
      <c r="AM98" s="37"/>
      <c r="AN98" s="837"/>
      <c r="AO98" s="37"/>
      <c r="AP98" s="838"/>
      <c r="AQ98" s="37"/>
      <c r="AR98" s="37"/>
      <c r="AS98" s="37"/>
      <c r="AT98" s="37"/>
      <c r="AU98" s="37"/>
      <c r="AV98" s="37"/>
      <c r="AW98" s="37"/>
      <c r="AX98" s="37"/>
      <c r="AY98" s="37"/>
      <c r="AZ98" s="37"/>
      <c r="BA98" s="37"/>
      <c r="BB98" s="37"/>
      <c r="BC98" s="37"/>
      <c r="BD98" s="37"/>
      <c r="BE98" s="37"/>
      <c r="BF98" s="37"/>
    </row>
    <row r="99" spans="14:58" x14ac:dyDescent="0.3">
      <c r="N99" s="37"/>
      <c r="O99" s="37"/>
      <c r="P99" s="37"/>
      <c r="Q99" s="37"/>
      <c r="R99" s="37"/>
      <c r="S99" s="37"/>
      <c r="T99" s="37"/>
      <c r="U99" s="37"/>
      <c r="V99" s="37"/>
      <c r="W99" s="37"/>
      <c r="X99" s="37"/>
      <c r="Y99" s="37"/>
      <c r="Z99" s="37"/>
      <c r="AA99" s="37"/>
      <c r="AB99" s="37"/>
      <c r="AC99" s="37"/>
      <c r="AD99" s="37"/>
      <c r="AE99" s="37"/>
      <c r="AF99" s="37"/>
      <c r="AG99" s="37"/>
      <c r="AH99" s="37"/>
      <c r="AI99" s="37"/>
      <c r="AJ99" s="37"/>
      <c r="AK99" s="37"/>
      <c r="AL99" s="37"/>
      <c r="AM99" s="37"/>
      <c r="AN99" s="837"/>
      <c r="AO99" s="37"/>
      <c r="AP99" s="838"/>
      <c r="AQ99" s="37"/>
      <c r="AR99" s="37"/>
      <c r="AS99" s="37"/>
      <c r="AT99" s="37"/>
      <c r="AU99" s="37"/>
      <c r="AV99" s="37"/>
      <c r="AW99" s="37"/>
      <c r="AX99" s="37"/>
      <c r="AY99" s="37"/>
      <c r="AZ99" s="37"/>
      <c r="BA99" s="37"/>
      <c r="BB99" s="37"/>
      <c r="BC99" s="37"/>
      <c r="BD99" s="37"/>
      <c r="BE99" s="37"/>
      <c r="BF99" s="37"/>
    </row>
    <row r="100" spans="14:58" x14ac:dyDescent="0.3">
      <c r="N100" s="37"/>
      <c r="O100" s="37"/>
      <c r="P100" s="37"/>
      <c r="Q100" s="37"/>
      <c r="R100" s="37"/>
      <c r="S100" s="37"/>
      <c r="T100" s="37"/>
      <c r="U100" s="37"/>
      <c r="V100" s="37"/>
      <c r="W100" s="37"/>
      <c r="X100" s="37"/>
      <c r="Y100" s="37"/>
      <c r="Z100" s="37"/>
      <c r="AA100" s="37"/>
      <c r="AB100" s="37"/>
      <c r="AC100" s="37"/>
      <c r="AD100" s="37"/>
      <c r="AE100" s="37"/>
      <c r="AF100" s="37"/>
      <c r="AG100" s="37"/>
      <c r="AH100" s="37"/>
      <c r="AI100" s="37"/>
      <c r="AJ100" s="37"/>
      <c r="AK100" s="37"/>
      <c r="AL100" s="37"/>
      <c r="AM100" s="37"/>
      <c r="AN100" s="837"/>
      <c r="AO100" s="37"/>
      <c r="AP100" s="838"/>
      <c r="AQ100" s="37"/>
      <c r="AR100" s="37"/>
      <c r="AS100" s="37"/>
      <c r="AT100" s="37"/>
      <c r="AU100" s="37"/>
      <c r="AV100" s="37"/>
      <c r="AW100" s="37"/>
      <c r="AX100" s="37"/>
      <c r="AY100" s="37"/>
      <c r="AZ100" s="37"/>
      <c r="BA100" s="37"/>
      <c r="BB100" s="37"/>
      <c r="BC100" s="37"/>
      <c r="BD100" s="37"/>
      <c r="BE100" s="37"/>
      <c r="BF100" s="37"/>
    </row>
    <row r="101" spans="14:58" x14ac:dyDescent="0.3">
      <c r="N101" s="37"/>
      <c r="O101" s="37"/>
      <c r="P101" s="37"/>
      <c r="Q101" s="37"/>
      <c r="R101" s="37"/>
      <c r="S101" s="37"/>
      <c r="T101" s="37"/>
      <c r="U101" s="37"/>
      <c r="V101" s="37"/>
      <c r="W101" s="37"/>
      <c r="X101" s="37"/>
      <c r="Y101" s="37"/>
      <c r="Z101" s="37"/>
      <c r="AA101" s="37"/>
      <c r="AB101" s="37"/>
      <c r="AC101" s="37"/>
      <c r="AD101" s="37"/>
      <c r="AE101" s="37"/>
      <c r="AF101" s="37"/>
      <c r="AG101" s="37"/>
      <c r="AH101" s="37"/>
      <c r="AI101" s="37"/>
      <c r="AJ101" s="37"/>
      <c r="AK101" s="37"/>
      <c r="AL101" s="37"/>
      <c r="AM101" s="37"/>
      <c r="AN101" s="837"/>
      <c r="AO101" s="37"/>
      <c r="AP101" s="838"/>
      <c r="AQ101" s="37"/>
      <c r="AR101" s="37"/>
      <c r="AS101" s="37"/>
      <c r="AT101" s="37"/>
      <c r="AU101" s="37"/>
      <c r="AV101" s="37"/>
      <c r="AW101" s="37"/>
      <c r="AX101" s="37"/>
      <c r="AY101" s="37"/>
      <c r="AZ101" s="37"/>
      <c r="BA101" s="37"/>
      <c r="BB101" s="37"/>
      <c r="BC101" s="37"/>
      <c r="BD101" s="37"/>
      <c r="BE101" s="37"/>
      <c r="BF101" s="37"/>
    </row>
    <row r="102" spans="14:58" x14ac:dyDescent="0.3">
      <c r="N102" s="37"/>
      <c r="O102" s="37"/>
      <c r="P102" s="37"/>
      <c r="Q102" s="37"/>
      <c r="R102" s="37"/>
      <c r="S102" s="37"/>
      <c r="T102" s="37"/>
      <c r="U102" s="37"/>
      <c r="V102" s="37"/>
      <c r="W102" s="37"/>
      <c r="X102" s="37"/>
      <c r="Y102" s="37"/>
      <c r="Z102" s="37"/>
      <c r="AA102" s="37"/>
      <c r="AB102" s="37"/>
      <c r="AC102" s="37"/>
      <c r="AD102" s="37"/>
      <c r="AE102" s="37"/>
      <c r="AF102" s="37"/>
      <c r="AG102" s="37"/>
      <c r="AH102" s="37"/>
      <c r="AI102" s="37"/>
      <c r="AJ102" s="37"/>
      <c r="AK102" s="37"/>
      <c r="AL102" s="37"/>
      <c r="AM102" s="37"/>
      <c r="AN102" s="837"/>
      <c r="AO102" s="37"/>
      <c r="AP102" s="838"/>
      <c r="AQ102" s="37"/>
      <c r="AR102" s="37"/>
      <c r="AS102" s="37"/>
      <c r="AT102" s="37"/>
      <c r="AU102" s="37"/>
      <c r="AV102" s="37"/>
      <c r="AW102" s="37"/>
      <c r="AX102" s="37"/>
      <c r="AY102" s="37"/>
      <c r="AZ102" s="37"/>
      <c r="BA102" s="37"/>
      <c r="BB102" s="37"/>
      <c r="BC102" s="37"/>
      <c r="BD102" s="37"/>
      <c r="BE102" s="37"/>
      <c r="BF102" s="37"/>
    </row>
    <row r="103" spans="14:58" x14ac:dyDescent="0.3">
      <c r="N103" s="37"/>
      <c r="O103" s="37"/>
      <c r="P103" s="37"/>
      <c r="Q103" s="37"/>
      <c r="R103" s="37"/>
      <c r="S103" s="37"/>
      <c r="T103" s="37"/>
      <c r="U103" s="37"/>
      <c r="V103" s="37"/>
      <c r="W103" s="37"/>
      <c r="X103" s="37"/>
      <c r="Y103" s="37"/>
      <c r="Z103" s="37"/>
      <c r="AA103" s="37"/>
      <c r="AB103" s="37"/>
      <c r="AC103" s="37"/>
      <c r="AD103" s="37"/>
      <c r="AE103" s="37"/>
      <c r="AF103" s="37"/>
      <c r="AG103" s="37"/>
      <c r="AH103" s="37"/>
      <c r="AI103" s="37"/>
      <c r="AJ103" s="37"/>
      <c r="AK103" s="37"/>
      <c r="AL103" s="37"/>
      <c r="AM103" s="37"/>
      <c r="AN103" s="837"/>
      <c r="AO103" s="37"/>
      <c r="AP103" s="838"/>
      <c r="AQ103" s="37"/>
      <c r="AR103" s="37"/>
      <c r="AS103" s="37"/>
      <c r="AT103" s="37"/>
      <c r="AU103" s="37"/>
      <c r="AV103" s="37"/>
      <c r="AW103" s="37"/>
      <c r="AX103" s="37"/>
      <c r="AY103" s="37"/>
      <c r="AZ103" s="37"/>
      <c r="BA103" s="37"/>
      <c r="BB103" s="37"/>
      <c r="BC103" s="37"/>
      <c r="BD103" s="37"/>
      <c r="BE103" s="37"/>
      <c r="BF103" s="37"/>
    </row>
    <row r="104" spans="14:58" x14ac:dyDescent="0.3">
      <c r="N104" s="37"/>
      <c r="O104" s="37"/>
      <c r="P104" s="37"/>
      <c r="Q104" s="37"/>
      <c r="R104" s="37"/>
      <c r="S104" s="37"/>
      <c r="T104" s="37"/>
      <c r="U104" s="37"/>
      <c r="V104" s="37"/>
      <c r="W104" s="37"/>
      <c r="X104" s="37"/>
      <c r="Y104" s="37"/>
      <c r="Z104" s="37"/>
      <c r="AA104" s="37"/>
      <c r="AB104" s="37"/>
      <c r="AC104" s="37"/>
      <c r="AD104" s="37"/>
      <c r="AE104" s="37"/>
      <c r="AF104" s="37"/>
      <c r="AG104" s="37"/>
      <c r="AH104" s="37"/>
      <c r="AI104" s="37"/>
      <c r="AJ104" s="37"/>
      <c r="AK104" s="37"/>
      <c r="AL104" s="37"/>
      <c r="AM104" s="37"/>
      <c r="AN104" s="837"/>
      <c r="AO104" s="37"/>
      <c r="AP104" s="838"/>
      <c r="AQ104" s="37"/>
      <c r="AR104" s="37"/>
      <c r="AS104" s="37"/>
      <c r="AT104" s="37"/>
      <c r="AU104" s="37"/>
      <c r="AV104" s="37"/>
      <c r="AW104" s="37"/>
      <c r="AX104" s="37"/>
      <c r="AY104" s="37"/>
      <c r="AZ104" s="37"/>
      <c r="BA104" s="37"/>
      <c r="BB104" s="37"/>
      <c r="BC104" s="37"/>
      <c r="BD104" s="37"/>
      <c r="BE104" s="37"/>
      <c r="BF104" s="37"/>
    </row>
  </sheetData>
  <sheetProtection algorithmName="SHA-512" hashValue="flxQhytiYtcDuLF0xObOk2ZfpqVDVvGWrKZOUCOr5shpB5sIIPeQoJiGrpOHR81Ca11Ypouh4f+PMYjsGamQPg==" saltValue="6pcIWy1reiOY6po8B0LWjA==" spinCount="100000" sheet="1" objects="1" scenarios="1"/>
  <conditionalFormatting sqref="AE24:AJ24 AE26:AK26">
    <cfRule type="dataBar" priority="43">
      <dataBar>
        <cfvo type="min"/>
        <cfvo type="max"/>
        <color rgb="FF638EC6"/>
      </dataBar>
      <extLst>
        <ext xmlns:x14="http://schemas.microsoft.com/office/spreadsheetml/2009/9/main" uri="{B025F937-C7B1-47D3-B67F-A62EFF666E3E}">
          <x14:id>{E9BF8180-9592-4EBD-9731-8815BCF9258D}</x14:id>
        </ext>
      </extLst>
    </cfRule>
  </conditionalFormatting>
  <conditionalFormatting sqref="AE22:AI22 AE28:AK30 AE32:AK33 AE35:AK35 AE37:AK37 AE39:AK40 AE42:AK42">
    <cfRule type="dataBar" priority="42">
      <dataBar>
        <cfvo type="min"/>
        <cfvo type="max"/>
        <color rgb="FF638EC6"/>
      </dataBar>
      <extLst>
        <ext xmlns:x14="http://schemas.microsoft.com/office/spreadsheetml/2009/9/main" uri="{B025F937-C7B1-47D3-B67F-A62EFF666E3E}">
          <x14:id>{0E374E67-2671-4428-BC63-FECC22AE20B7}</x14:id>
        </ext>
      </extLst>
    </cfRule>
  </conditionalFormatting>
  <conditionalFormatting sqref="AE24:AJ24 AE26:AK26 AE28:AK28 AE22:AK22">
    <cfRule type="dataBar" priority="41">
      <dataBar>
        <cfvo type="min"/>
        <cfvo type="max"/>
        <color rgb="FF638EC6"/>
      </dataBar>
      <extLst>
        <ext xmlns:x14="http://schemas.microsoft.com/office/spreadsheetml/2009/9/main" uri="{B025F937-C7B1-47D3-B67F-A62EFF666E3E}">
          <x14:id>{FDE8ED0F-48F6-4CE8-9806-D2507C78A679}</x14:id>
        </ext>
      </extLst>
    </cfRule>
  </conditionalFormatting>
  <conditionalFormatting sqref="AE26:AE42">
    <cfRule type="dataBar" priority="40">
      <dataBar>
        <cfvo type="min"/>
        <cfvo type="max"/>
        <color rgb="FF638EC6"/>
      </dataBar>
      <extLst>
        <ext xmlns:x14="http://schemas.microsoft.com/office/spreadsheetml/2009/9/main" uri="{B025F937-C7B1-47D3-B67F-A62EFF666E3E}">
          <x14:id>{57396697-054D-4C03-BD22-22DDB4ED9193}</x14:id>
        </ext>
      </extLst>
    </cfRule>
  </conditionalFormatting>
  <conditionalFormatting sqref="AE24">
    <cfRule type="dataBar" priority="39">
      <dataBar>
        <cfvo type="min"/>
        <cfvo type="max"/>
        <color rgb="FF638EC6"/>
      </dataBar>
      <extLst>
        <ext xmlns:x14="http://schemas.microsoft.com/office/spreadsheetml/2009/9/main" uri="{B025F937-C7B1-47D3-B67F-A62EFF666E3E}">
          <x14:id>{14F163F3-D8FB-4467-9A0F-DD4DDA6391B3}</x14:id>
        </ext>
      </extLst>
    </cfRule>
  </conditionalFormatting>
  <conditionalFormatting sqref="AE24">
    <cfRule type="dataBar" priority="38">
      <dataBar>
        <cfvo type="min"/>
        <cfvo type="max"/>
        <color rgb="FF638EC6"/>
      </dataBar>
      <extLst>
        <ext xmlns:x14="http://schemas.microsoft.com/office/spreadsheetml/2009/9/main" uri="{B025F937-C7B1-47D3-B67F-A62EFF666E3E}">
          <x14:id>{7FCF2102-EFE5-4D85-8FB9-BE31CED6C125}</x14:id>
        </ext>
      </extLst>
    </cfRule>
  </conditionalFormatting>
  <conditionalFormatting sqref="AE22:AE42">
    <cfRule type="dataBar" priority="37">
      <dataBar>
        <cfvo type="min"/>
        <cfvo type="max"/>
        <color rgb="FF638EC6"/>
      </dataBar>
      <extLst>
        <ext xmlns:x14="http://schemas.microsoft.com/office/spreadsheetml/2009/9/main" uri="{B025F937-C7B1-47D3-B67F-A62EFF666E3E}">
          <x14:id>{4AF8CFA1-16C2-429A-9F9C-BEB7FE381E8A}</x14:id>
        </ext>
      </extLst>
    </cfRule>
  </conditionalFormatting>
  <conditionalFormatting sqref="AE21:AE42">
    <cfRule type="dataBar" priority="35">
      <dataBar>
        <cfvo type="min"/>
        <cfvo type="max"/>
        <color theme="0" tint="-0.34998626667073579"/>
      </dataBar>
      <extLst>
        <ext xmlns:x14="http://schemas.microsoft.com/office/spreadsheetml/2009/9/main" uri="{B025F937-C7B1-47D3-B67F-A62EFF666E3E}">
          <x14:id>{2FEEB57E-08D2-4D63-8653-60471BA78015}</x14:id>
        </ext>
      </extLst>
    </cfRule>
    <cfRule type="dataBar" priority="36">
      <dataBar>
        <cfvo type="min"/>
        <cfvo type="max"/>
        <color rgb="FF638EC6"/>
      </dataBar>
      <extLst>
        <ext xmlns:x14="http://schemas.microsoft.com/office/spreadsheetml/2009/9/main" uri="{B025F937-C7B1-47D3-B67F-A62EFF666E3E}">
          <x14:id>{7599F071-19FE-4532-8994-773579B4EAF9}</x14:id>
        </ext>
      </extLst>
    </cfRule>
  </conditionalFormatting>
  <conditionalFormatting sqref="AK24">
    <cfRule type="dataBar" priority="34">
      <dataBar>
        <cfvo type="min"/>
        <cfvo type="max"/>
        <color rgb="FF638EC6"/>
      </dataBar>
      <extLst>
        <ext xmlns:x14="http://schemas.microsoft.com/office/spreadsheetml/2009/9/main" uri="{B025F937-C7B1-47D3-B67F-A62EFF666E3E}">
          <x14:id>{5B175E92-D332-4D61-B2FF-43DBB10B2848}</x14:id>
        </ext>
      </extLst>
    </cfRule>
  </conditionalFormatting>
  <conditionalFormatting sqref="AK24">
    <cfRule type="dataBar" priority="33">
      <dataBar>
        <cfvo type="min"/>
        <cfvo type="max"/>
        <color rgb="FF638EC6"/>
      </dataBar>
      <extLst>
        <ext xmlns:x14="http://schemas.microsoft.com/office/spreadsheetml/2009/9/main" uri="{B025F937-C7B1-47D3-B67F-A62EFF666E3E}">
          <x14:id>{BE9C29ED-6705-4C2B-B09D-E9CED6FA81D2}</x14:id>
        </ext>
      </extLst>
    </cfRule>
  </conditionalFormatting>
  <conditionalFormatting sqref="AK24">
    <cfRule type="dataBar" priority="32">
      <dataBar>
        <cfvo type="min"/>
        <cfvo type="max"/>
        <color rgb="FF638EC6"/>
      </dataBar>
      <extLst>
        <ext xmlns:x14="http://schemas.microsoft.com/office/spreadsheetml/2009/9/main" uri="{B025F937-C7B1-47D3-B67F-A62EFF666E3E}">
          <x14:id>{4BF0A1A2-9DC0-4088-BF46-9203061B6875}</x14:id>
        </ext>
      </extLst>
    </cfRule>
  </conditionalFormatting>
  <conditionalFormatting sqref="AK24">
    <cfRule type="dataBar" priority="31">
      <dataBar>
        <cfvo type="min"/>
        <cfvo type="max"/>
        <color rgb="FF638EC6"/>
      </dataBar>
      <extLst>
        <ext xmlns:x14="http://schemas.microsoft.com/office/spreadsheetml/2009/9/main" uri="{B025F937-C7B1-47D3-B67F-A62EFF666E3E}">
          <x14:id>{AE46A474-BF5B-4A07-A436-76F0A91C7438}</x14:id>
        </ext>
      </extLst>
    </cfRule>
  </conditionalFormatting>
  <conditionalFormatting sqref="AK24">
    <cfRule type="dataBar" priority="30">
      <dataBar>
        <cfvo type="min"/>
        <cfvo type="max"/>
        <color rgb="FF638EC6"/>
      </dataBar>
      <extLst>
        <ext xmlns:x14="http://schemas.microsoft.com/office/spreadsheetml/2009/9/main" uri="{B025F937-C7B1-47D3-B67F-A62EFF666E3E}">
          <x14:id>{8C888020-78F7-4A2F-9495-5C930EB3BC5F}</x14:id>
        </ext>
      </extLst>
    </cfRule>
  </conditionalFormatting>
  <conditionalFormatting sqref="AK24">
    <cfRule type="dataBar" priority="29">
      <dataBar>
        <cfvo type="min"/>
        <cfvo type="max"/>
        <color rgb="FF638EC6"/>
      </dataBar>
      <extLst>
        <ext xmlns:x14="http://schemas.microsoft.com/office/spreadsheetml/2009/9/main" uri="{B025F937-C7B1-47D3-B67F-A62EFF666E3E}">
          <x14:id>{21D759C2-9E82-4D5C-9079-C46CCF5838A2}</x14:id>
        </ext>
      </extLst>
    </cfRule>
  </conditionalFormatting>
  <conditionalFormatting sqref="AP19 AN19">
    <cfRule type="colorScale" priority="28">
      <colorScale>
        <cfvo type="min"/>
        <cfvo type="percentile" val="50"/>
        <cfvo type="max"/>
        <color rgb="FFF8696B"/>
        <color rgb="FFFFEB84"/>
        <color rgb="FF63BE7B"/>
      </colorScale>
    </cfRule>
  </conditionalFormatting>
  <conditionalFormatting sqref="V15:V42 BYV30 AE22:AK22 AJ21:AK21 AE24:AK42 AO24:AO42 BYV36:BYV42 AM42 AM24:AM40 AQ24:AR42">
    <cfRule type="dataBar" priority="44">
      <dataBar>
        <cfvo type="min"/>
        <cfvo type="max"/>
        <color rgb="FFFFB628"/>
      </dataBar>
      <extLst>
        <ext xmlns:x14="http://schemas.microsoft.com/office/spreadsheetml/2009/9/main" uri="{B025F937-C7B1-47D3-B67F-A62EFF666E3E}">
          <x14:id>{7A1E1832-BE55-47FD-A9C4-3C7D9B250415}</x14:id>
        </ext>
      </extLst>
    </cfRule>
  </conditionalFormatting>
  <conditionalFormatting sqref="AO44">
    <cfRule type="dataBar" priority="12">
      <dataBar>
        <cfvo type="min"/>
        <cfvo type="max"/>
        <color rgb="FFFFB628"/>
      </dataBar>
      <extLst>
        <ext xmlns:x14="http://schemas.microsoft.com/office/spreadsheetml/2009/9/main" uri="{B025F937-C7B1-47D3-B67F-A62EFF666E3E}">
          <x14:id>{15DE898F-FF3B-4CB2-AE18-7D4A048C9278}</x14:id>
        </ext>
      </extLst>
    </cfRule>
  </conditionalFormatting>
  <conditionalFormatting sqref="AP11:AP12">
    <cfRule type="iconSet" priority="10">
      <iconSet>
        <cfvo type="percent" val="0"/>
        <cfvo type="num" val="0.25"/>
        <cfvo type="num" val="0.75"/>
      </iconSet>
    </cfRule>
    <cfRule type="iconSet" priority="11">
      <iconSet>
        <cfvo type="percent" val="0"/>
        <cfvo type="percent" val="25"/>
        <cfvo type="percent" val="75"/>
      </iconSet>
    </cfRule>
  </conditionalFormatting>
  <conditionalFormatting sqref="AL24">
    <cfRule type="iconSet" priority="9">
      <iconSet>
        <cfvo type="percent" val="0"/>
        <cfvo type="num" val="50"/>
        <cfvo type="num" val="75"/>
      </iconSet>
    </cfRule>
  </conditionalFormatting>
  <conditionalFormatting sqref="AL26">
    <cfRule type="iconSet" priority="8">
      <iconSet>
        <cfvo type="percent" val="0"/>
        <cfvo type="num" val="50"/>
        <cfvo type="num" val="75"/>
      </iconSet>
    </cfRule>
  </conditionalFormatting>
  <conditionalFormatting sqref="AL28">
    <cfRule type="iconSet" priority="7">
      <iconSet>
        <cfvo type="percent" val="0"/>
        <cfvo type="num" val="50"/>
        <cfvo type="num" val="75"/>
      </iconSet>
    </cfRule>
  </conditionalFormatting>
  <conditionalFormatting sqref="AL29">
    <cfRule type="iconSet" priority="6">
      <iconSet>
        <cfvo type="percent" val="0"/>
        <cfvo type="num" val="50"/>
        <cfvo type="num" val="75"/>
      </iconSet>
    </cfRule>
  </conditionalFormatting>
  <conditionalFormatting sqref="AL30">
    <cfRule type="iconSet" priority="5">
      <iconSet>
        <cfvo type="percent" val="0"/>
        <cfvo type="num" val="50"/>
        <cfvo type="num" val="75"/>
      </iconSet>
    </cfRule>
  </conditionalFormatting>
  <conditionalFormatting sqref="AL42 AL39:AL40 AL37 AL35 AL32:AL33">
    <cfRule type="iconSet" priority="4">
      <iconSet>
        <cfvo type="percent" val="0"/>
        <cfvo type="num" val="50"/>
        <cfvo type="num" val="75"/>
      </iconSet>
    </cfRule>
  </conditionalFormatting>
  <conditionalFormatting sqref="AL24 AL26 AL28:AL30 AL32:AL33 AL35 AL37 AL39:AL40 AL42">
    <cfRule type="iconSet" priority="3">
      <iconSet>
        <cfvo type="percent" val="0"/>
        <cfvo type="num" val="26"/>
        <cfvo type="num" val="75"/>
      </iconSet>
    </cfRule>
  </conditionalFormatting>
  <dataValidations count="12">
    <dataValidation type="list" allowBlank="1" showInputMessage="1" showErrorMessage="1" sqref="N42" xr:uid="{64FDA8CD-2D58-49F0-81DF-ACC6E0A71486}">
      <formula1>co2berekening</formula1>
    </dataValidation>
    <dataValidation type="list" allowBlank="1" showInputMessage="1" showErrorMessage="1" sqref="N40" xr:uid="{21FEF362-69CD-49DD-AD3C-6C596702E55C}">
      <formula1>circulariteit</formula1>
    </dataValidation>
    <dataValidation type="list" allowBlank="1" showInputMessage="1" showErrorMessage="1" sqref="N39" xr:uid="{E6182571-F0B6-4D92-88FC-3C070E470BD7}">
      <formula1>mki</formula1>
    </dataValidation>
    <dataValidation type="list" allowBlank="1" showInputMessage="1" showErrorMessage="1" sqref="N37" xr:uid="{F41B8550-DD86-43F6-9D24-FA4841B95FDF}">
      <formula1>beheeronderhoud</formula1>
    </dataValidation>
    <dataValidation type="list" allowBlank="1" showInputMessage="1" showErrorMessage="1" sqref="N35" xr:uid="{E603062B-73D3-4B47-9F6F-37CBF13B6233}">
      <formula1>adaptatie</formula1>
    </dataValidation>
    <dataValidation type="list" allowBlank="1" showInputMessage="1" showErrorMessage="1" sqref="N33" xr:uid="{F8583F73-9878-43C3-97B5-9BF61FCFBFA8}">
      <formula1>materialenpaspoort</formula1>
    </dataValidation>
    <dataValidation type="list" allowBlank="1" showInputMessage="1" showErrorMessage="1" sqref="N32" xr:uid="{8584474A-20BE-487C-A5C2-BCD3FD0C8DCA}">
      <formula1>herbruikbaarheid</formula1>
    </dataValidation>
    <dataValidation type="list" allowBlank="1" showInputMessage="1" showErrorMessage="1" sqref="N30" xr:uid="{A02381E7-811D-4BFD-99F5-045C77B6328D}">
      <formula1>natuurlijkeprocessen</formula1>
    </dataValidation>
    <dataValidation type="list" allowBlank="1" showInputMessage="1" showErrorMessage="1" sqref="N29" xr:uid="{A8D40CB2-5D6E-4355-841E-1736321F6ABD}">
      <formula1>materialendatabank</formula1>
    </dataValidation>
    <dataValidation type="list" allowBlank="1" showInputMessage="1" showErrorMessage="1" sqref="N28" xr:uid="{6906B67F-55EF-40A0-9C92-A5E3AD32234C}">
      <formula1>restwaardehergebruik</formula1>
    </dataValidation>
    <dataValidation type="list" allowBlank="1" showInputMessage="1" showErrorMessage="1" sqref="N26" xr:uid="{DAB11BAA-1133-4AAD-AD40-ACB9140F973B}">
      <formula1>levensduurverlenging</formula1>
    </dataValidation>
    <dataValidation type="list" allowBlank="1" showInputMessage="1" showErrorMessage="1" sqref="N24" xr:uid="{33A6FC8D-5AF1-47BD-95A2-1E9DBFCEB53F}">
      <formula1>opgverkleining</formula1>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dataBar" id="{E9BF8180-9592-4EBD-9731-8815BCF9258D}">
            <x14:dataBar minLength="0" maxLength="100" border="1" negativeBarBorderColorSameAsPositive="0">
              <x14:cfvo type="autoMin"/>
              <x14:cfvo type="autoMax"/>
              <x14:borderColor rgb="FF638EC6"/>
              <x14:negativeFillColor rgb="FFFF0000"/>
              <x14:negativeBorderColor rgb="FFFF0000"/>
              <x14:axisColor rgb="FF000000"/>
            </x14:dataBar>
          </x14:cfRule>
          <xm:sqref>AE24:AJ24 AE26:AK26</xm:sqref>
        </x14:conditionalFormatting>
        <x14:conditionalFormatting xmlns:xm="http://schemas.microsoft.com/office/excel/2006/main">
          <x14:cfRule type="dataBar" id="{0E374E67-2671-4428-BC63-FECC22AE20B7}">
            <x14:dataBar minLength="0" maxLength="100" border="1" negativeBarBorderColorSameAsPositive="0">
              <x14:cfvo type="autoMin"/>
              <x14:cfvo type="autoMax"/>
              <x14:borderColor rgb="FF638EC6"/>
              <x14:negativeFillColor rgb="FFFF0000"/>
              <x14:negativeBorderColor rgb="FFFF0000"/>
              <x14:axisColor rgb="FF000000"/>
            </x14:dataBar>
          </x14:cfRule>
          <xm:sqref>AE22:AI22 AE28:AK30 AE32:AK33 AE35:AK35 AE37:AK37 AE39:AK40 AE42:AK42</xm:sqref>
        </x14:conditionalFormatting>
        <x14:conditionalFormatting xmlns:xm="http://schemas.microsoft.com/office/excel/2006/main">
          <x14:cfRule type="dataBar" id="{FDE8ED0F-48F6-4CE8-9806-D2507C78A679}">
            <x14:dataBar minLength="0" maxLength="100" border="1" negativeBarBorderColorSameAsPositive="0">
              <x14:cfvo type="autoMin"/>
              <x14:cfvo type="autoMax"/>
              <x14:borderColor rgb="FF638EC6"/>
              <x14:negativeFillColor rgb="FFFF0000"/>
              <x14:negativeBorderColor rgb="FFFF0000"/>
              <x14:axisColor rgb="FF000000"/>
            </x14:dataBar>
          </x14:cfRule>
          <xm:sqref>AE24:AJ24 AE26:AK26 AE28:AK28 AE22:AK22</xm:sqref>
        </x14:conditionalFormatting>
        <x14:conditionalFormatting xmlns:xm="http://schemas.microsoft.com/office/excel/2006/main">
          <x14:cfRule type="dataBar" id="{57396697-054D-4C03-BD22-22DDB4ED9193}">
            <x14:dataBar minLength="0" maxLength="100" gradient="0">
              <x14:cfvo type="autoMin"/>
              <x14:cfvo type="autoMax"/>
              <x14:negativeFillColor rgb="FFFF0000"/>
              <x14:axisColor rgb="FF000000"/>
            </x14:dataBar>
          </x14:cfRule>
          <xm:sqref>AE26:AE42</xm:sqref>
        </x14:conditionalFormatting>
        <x14:conditionalFormatting xmlns:xm="http://schemas.microsoft.com/office/excel/2006/main">
          <x14:cfRule type="dataBar" id="{14F163F3-D8FB-4467-9A0F-DD4DDA6391B3}">
            <x14:dataBar minLength="0" maxLength="100" gradient="0">
              <x14:cfvo type="autoMin"/>
              <x14:cfvo type="autoMax"/>
              <x14:negativeFillColor rgb="FFFF0000"/>
              <x14:axisColor rgb="FF000000"/>
            </x14:dataBar>
          </x14:cfRule>
          <xm:sqref>AE24</xm:sqref>
        </x14:conditionalFormatting>
        <x14:conditionalFormatting xmlns:xm="http://schemas.microsoft.com/office/excel/2006/main">
          <x14:cfRule type="dataBar" id="{7FCF2102-EFE5-4D85-8FB9-BE31CED6C125}">
            <x14:dataBar minLength="0" maxLength="100" gradient="0">
              <x14:cfvo type="autoMin"/>
              <x14:cfvo type="autoMax"/>
              <x14:negativeFillColor rgb="FFFF0000"/>
              <x14:axisColor rgb="FF000000"/>
            </x14:dataBar>
          </x14:cfRule>
          <xm:sqref>AE24</xm:sqref>
        </x14:conditionalFormatting>
        <x14:conditionalFormatting xmlns:xm="http://schemas.microsoft.com/office/excel/2006/main">
          <x14:cfRule type="dataBar" id="{4AF8CFA1-16C2-429A-9F9C-BEB7FE381E8A}">
            <x14:dataBar minLength="0" maxLength="100" gradient="0">
              <x14:cfvo type="autoMin"/>
              <x14:cfvo type="autoMax"/>
              <x14:negativeFillColor rgb="FFFF0000"/>
              <x14:axisColor rgb="FF000000"/>
            </x14:dataBar>
          </x14:cfRule>
          <xm:sqref>AE22:AE42</xm:sqref>
        </x14:conditionalFormatting>
        <x14:conditionalFormatting xmlns:xm="http://schemas.microsoft.com/office/excel/2006/main">
          <x14:cfRule type="dataBar" id="{2FEEB57E-08D2-4D63-8653-60471BA78015}">
            <x14:dataBar minLength="0" maxLength="100" gradient="0">
              <x14:cfvo type="autoMin"/>
              <x14:cfvo type="autoMax"/>
              <x14:negativeFillColor rgb="FFFF0000"/>
              <x14:axisColor rgb="FF000000"/>
            </x14:dataBar>
          </x14:cfRule>
          <x14:cfRule type="dataBar" id="{7599F071-19FE-4532-8994-773579B4EAF9}">
            <x14:dataBar minLength="0" maxLength="100" gradient="0">
              <x14:cfvo type="autoMin"/>
              <x14:cfvo type="autoMax"/>
              <x14:negativeFillColor rgb="FFFF0000"/>
              <x14:axisColor rgb="FF000000"/>
            </x14:dataBar>
          </x14:cfRule>
          <xm:sqref>AE21:AE42</xm:sqref>
        </x14:conditionalFormatting>
        <x14:conditionalFormatting xmlns:xm="http://schemas.microsoft.com/office/excel/2006/main">
          <x14:cfRule type="dataBar" id="{5B175E92-D332-4D61-B2FF-43DBB10B2848}">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BE9C29ED-6705-4C2B-B09D-E9CED6FA81D2}">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4BF0A1A2-9DC0-4088-BF46-9203061B6875}">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AE46A474-BF5B-4A07-A436-76F0A91C7438}">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8C888020-78F7-4A2F-9495-5C930EB3BC5F}">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21D759C2-9E82-4D5C-9079-C46CCF5838A2}">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7A1E1832-BE55-47FD-A9C4-3C7D9B250415}">
            <x14:dataBar minLength="0" maxLength="100" border="1" negativeBarBorderColorSameAsPositive="0">
              <x14:cfvo type="autoMin"/>
              <x14:cfvo type="autoMax"/>
              <x14:borderColor rgb="FFFFB628"/>
              <x14:negativeFillColor rgb="FFFF0000"/>
              <x14:negativeBorderColor rgb="FFFF0000"/>
              <x14:axisColor rgb="FF000000"/>
            </x14:dataBar>
          </x14:cfRule>
          <xm:sqref>V15:V42 BYV30 AE22:AK22 AJ21:AK21 AE24:AK42 AO24:AO42 BYV36:BYV42 AM42 AM24:AM40 AQ24:AR42</xm:sqref>
        </x14:conditionalFormatting>
        <x14:conditionalFormatting xmlns:xm="http://schemas.microsoft.com/office/excel/2006/main">
          <x14:cfRule type="dataBar" id="{15DE898F-FF3B-4CB2-AE18-7D4A048C9278}">
            <x14:dataBar minLength="0" maxLength="100" border="1" negativeBarBorderColorSameAsPositive="0">
              <x14:cfvo type="autoMin"/>
              <x14:cfvo type="autoMax"/>
              <x14:borderColor rgb="FFFFB628"/>
              <x14:negativeFillColor rgb="FFFF0000"/>
              <x14:negativeBorderColor rgb="FFFF0000"/>
              <x14:axisColor rgb="FF000000"/>
            </x14:dataBar>
          </x14:cfRule>
          <xm:sqref>AO44</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5ECB9-FEB2-444F-BA8F-2028435F652D}">
  <sheetPr>
    <tabColor rgb="FF9E0000"/>
  </sheetPr>
  <dimension ref="A1:CAC88"/>
  <sheetViews>
    <sheetView showGridLines="0" showRowColHeaders="0" zoomScale="55" zoomScaleNormal="55" workbookViewId="0">
      <selection activeCell="N7" sqref="N7"/>
    </sheetView>
  </sheetViews>
  <sheetFormatPr defaultRowHeight="14.4" x14ac:dyDescent="0.3"/>
  <cols>
    <col min="1" max="9" width="1.6640625" customWidth="1"/>
    <col min="10" max="10" width="89.33203125" style="1" customWidth="1"/>
    <col min="11" max="11" width="6.33203125" bestFit="1" customWidth="1"/>
    <col min="12" max="12" width="35.44140625" customWidth="1"/>
    <col min="13" max="13" width="2.77734375" customWidth="1"/>
    <col min="14" max="14" width="134.6640625" customWidth="1"/>
    <col min="15" max="15" width="1.6640625" customWidth="1"/>
    <col min="16" max="30" width="5.6640625" hidden="1" customWidth="1"/>
    <col min="31" max="31" width="8.33203125" hidden="1" customWidth="1"/>
    <col min="32" max="36" width="5.6640625" hidden="1" customWidth="1"/>
    <col min="37" max="37" width="7.6640625" hidden="1" customWidth="1"/>
    <col min="38" max="38" width="28" customWidth="1"/>
    <col min="39" max="39" width="2.6640625" hidden="1" customWidth="1"/>
    <col min="40" max="40" width="8.33203125" style="108" customWidth="1"/>
    <col min="41" max="41" width="2.6640625" hidden="1" customWidth="1"/>
    <col min="42" max="42" width="18.6640625" style="109" customWidth="1"/>
    <col min="43" max="43" width="5.6640625" customWidth="1"/>
    <col min="44" max="44" width="97" customWidth="1"/>
    <col min="45" max="46" width="8.88671875" customWidth="1"/>
    <col min="47" max="47" width="8.6640625" customWidth="1"/>
    <col min="48" max="48" width="21.6640625" customWidth="1"/>
    <col min="49" max="50" width="8.88671875" customWidth="1"/>
    <col min="51" max="51" width="8.6640625" customWidth="1"/>
    <col min="52" max="52" width="21.6640625" customWidth="1"/>
    <col min="53" max="54" width="8.88671875" customWidth="1"/>
    <col min="55" max="55" width="8.6640625" customWidth="1"/>
    <col min="56" max="56" width="21.6640625" customWidth="1"/>
    <col min="57" max="63" width="8.88671875" customWidth="1"/>
    <col min="64" max="64" width="26.88671875" hidden="1" customWidth="1"/>
    <col min="65" max="66" width="1.6640625" style="207" hidden="1" customWidth="1"/>
    <col min="67" max="67" width="5.33203125" style="207" hidden="1" customWidth="1"/>
    <col min="68" max="68" width="8.88671875" hidden="1" customWidth="1"/>
    <col min="69" max="69" width="8.88671875" customWidth="1"/>
    <col min="2023" max="2059" width="1.77734375" customWidth="1"/>
  </cols>
  <sheetData>
    <row r="1" spans="1:67 2022:2057" ht="69" customHeight="1" thickBot="1" x14ac:dyDescent="0.35">
      <c r="BYT1" s="299"/>
      <c r="BYU1" s="299"/>
      <c r="BYV1" s="299"/>
      <c r="BYW1" s="299"/>
      <c r="BYX1" s="299"/>
      <c r="BYY1" s="299"/>
      <c r="BYZ1" s="299"/>
      <c r="BZA1" s="299"/>
      <c r="BZB1" s="299"/>
      <c r="BZC1" s="299"/>
      <c r="BZD1" s="299"/>
      <c r="BZE1" s="299"/>
      <c r="BZF1" s="299"/>
      <c r="BZG1" s="299"/>
      <c r="BZH1" s="299"/>
      <c r="BZI1" s="299"/>
      <c r="BZJ1" s="299"/>
      <c r="BZK1" s="299"/>
      <c r="BZL1" s="299"/>
      <c r="BZM1" s="299"/>
      <c r="BZN1" s="299"/>
      <c r="BZO1" s="299"/>
      <c r="BZP1" s="299"/>
      <c r="BZQ1" s="299"/>
      <c r="BZR1" s="299"/>
      <c r="BZS1" s="299"/>
      <c r="BZT1" s="299"/>
      <c r="BZU1" s="299"/>
      <c r="BZV1" s="299"/>
      <c r="BZW1" s="299"/>
      <c r="BZX1" s="299"/>
      <c r="BZY1" s="299"/>
      <c r="BZZ1" s="277"/>
      <c r="CAA1" s="278"/>
      <c r="CAB1" s="278"/>
      <c r="CAC1" s="279"/>
    </row>
    <row r="2" spans="1:67 2022:2057" ht="91.8" x14ac:dyDescent="1.65">
      <c r="K2" s="291"/>
      <c r="L2" s="550"/>
      <c r="M2" s="267"/>
      <c r="N2" s="550" t="s">
        <v>18</v>
      </c>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74"/>
      <c r="AN2" s="303"/>
      <c r="AO2" s="304"/>
      <c r="AP2" s="371"/>
      <c r="BYT2" s="299"/>
      <c r="BYU2" s="299"/>
      <c r="BYV2" s="299"/>
      <c r="BYW2" s="299"/>
      <c r="BYX2" s="299"/>
      <c r="BYY2" s="299"/>
      <c r="BYZ2" s="299"/>
      <c r="BZA2" s="299"/>
      <c r="BZB2" s="299"/>
      <c r="BZC2" s="299"/>
      <c r="BZD2" s="299"/>
      <c r="BZE2" s="299"/>
      <c r="BZF2" s="299"/>
      <c r="BZG2" s="299"/>
      <c r="BZH2" s="299"/>
      <c r="BZI2" s="299"/>
      <c r="BZJ2" s="299"/>
      <c r="BZK2" s="299"/>
      <c r="BZL2" s="299"/>
      <c r="BZM2" s="299"/>
      <c r="BZN2" s="299"/>
      <c r="BZO2" s="299"/>
      <c r="BZP2" s="299"/>
      <c r="BZQ2" s="299"/>
      <c r="BZR2" s="299"/>
      <c r="BZS2" s="299"/>
      <c r="BZT2" s="299"/>
      <c r="BZU2" s="299"/>
      <c r="BZV2" s="299"/>
      <c r="BZW2" s="299"/>
      <c r="BZX2" s="299"/>
      <c r="BZY2" s="299"/>
      <c r="BZZ2" s="280"/>
      <c r="CAA2" s="281"/>
      <c r="CAB2" s="281"/>
      <c r="CAC2" s="282"/>
    </row>
    <row r="3" spans="1:67 2022:2057" ht="34.200000000000003" thickBot="1" x14ac:dyDescent="0.7">
      <c r="K3" s="292"/>
      <c r="L3" s="647"/>
      <c r="M3" s="164"/>
      <c r="N3" s="647" t="s">
        <v>19</v>
      </c>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275"/>
      <c r="AN3" s="301"/>
      <c r="AO3" s="302"/>
      <c r="AP3" s="379"/>
      <c r="BYT3" s="299"/>
      <c r="BYU3" s="299"/>
      <c r="BYV3" s="299"/>
      <c r="BYW3" s="299"/>
      <c r="BYX3" s="299"/>
      <c r="BYY3" s="299"/>
      <c r="BYZ3" s="299"/>
      <c r="BZA3" s="299"/>
      <c r="BZB3" s="299"/>
      <c r="BZC3" s="299"/>
      <c r="BZD3" s="299"/>
      <c r="BZE3" s="299"/>
      <c r="BZF3" s="299"/>
      <c r="BZG3" s="299"/>
      <c r="BZH3" s="299"/>
      <c r="BZI3" s="299"/>
      <c r="BZJ3" s="299"/>
      <c r="BZK3" s="299"/>
      <c r="BZL3" s="299"/>
      <c r="BZM3" s="299"/>
      <c r="BZN3" s="299"/>
      <c r="BZO3" s="299"/>
      <c r="BZP3" s="299"/>
      <c r="BZQ3" s="299"/>
      <c r="BZR3" s="299"/>
      <c r="BZS3" s="299"/>
      <c r="BZT3" s="299"/>
      <c r="BZU3" s="299"/>
      <c r="BZV3" s="299"/>
      <c r="BZW3" s="299"/>
      <c r="BZX3" s="299"/>
      <c r="BZY3" s="299"/>
      <c r="BZZ3" s="280"/>
      <c r="CAA3" s="281"/>
      <c r="CAB3" s="281"/>
      <c r="CAC3" s="282"/>
    </row>
    <row r="4" spans="1:67 2022:2057" ht="15.6" x14ac:dyDescent="0.3">
      <c r="K4" s="291"/>
      <c r="L4" s="305" t="s">
        <v>21</v>
      </c>
      <c r="M4" s="682" t="str">
        <f>IF(N4="","         voer hier de projectnaam in","")</f>
        <v/>
      </c>
      <c r="N4" s="841" t="str">
        <f>'invoer Basis'!N4</f>
        <v>Projectnaam</v>
      </c>
      <c r="O4" s="267"/>
      <c r="P4" s="267"/>
      <c r="Q4" s="267"/>
      <c r="R4" s="267"/>
      <c r="S4" s="267"/>
      <c r="T4" s="267"/>
      <c r="U4" s="267"/>
      <c r="V4" s="267"/>
      <c r="W4" s="267"/>
      <c r="X4" s="267"/>
      <c r="Y4" s="267"/>
      <c r="Z4" s="267"/>
      <c r="AA4" s="267"/>
      <c r="AB4" s="267"/>
      <c r="AC4" s="267"/>
      <c r="AD4" s="267"/>
      <c r="AE4" s="267"/>
      <c r="AF4" s="267"/>
      <c r="AG4" s="267"/>
      <c r="AH4" s="267"/>
      <c r="AI4" s="267"/>
      <c r="AJ4" s="267"/>
      <c r="AK4" s="267"/>
      <c r="AL4" s="698"/>
      <c r="AM4" s="698"/>
      <c r="AN4" s="702"/>
      <c r="AO4" s="304"/>
      <c r="AP4" s="703"/>
      <c r="BYT4" s="299"/>
      <c r="BYU4" s="299"/>
      <c r="BYV4" s="299"/>
      <c r="BYW4" s="299"/>
      <c r="BYX4" s="299"/>
      <c r="BYY4" s="299"/>
      <c r="BYZ4" s="299"/>
      <c r="BZA4" s="299"/>
      <c r="BZB4" s="299"/>
      <c r="BZC4" s="299"/>
      <c r="BZD4" s="299"/>
      <c r="BZE4" s="299"/>
      <c r="BZF4" s="299"/>
      <c r="BZG4" s="299"/>
      <c r="BZH4" s="299"/>
      <c r="BZI4" s="299"/>
      <c r="BZJ4" s="299"/>
      <c r="BZK4" s="299"/>
      <c r="BZL4" s="299"/>
      <c r="BZM4" s="299"/>
      <c r="BZN4" s="299"/>
      <c r="BZO4" s="299"/>
      <c r="BZP4" s="299"/>
      <c r="BZQ4" s="299"/>
      <c r="BZR4" s="299"/>
      <c r="BZS4" s="299"/>
      <c r="BZT4" s="299"/>
      <c r="BZU4" s="299"/>
      <c r="BZV4" s="299"/>
      <c r="BZW4" s="299"/>
      <c r="BZX4" s="299"/>
      <c r="BZY4" s="299"/>
      <c r="BZZ4" s="280"/>
      <c r="CAA4" s="281"/>
      <c r="CAB4" s="281"/>
      <c r="CAC4" s="282"/>
    </row>
    <row r="5" spans="1:67 2022:2057" ht="15.6" x14ac:dyDescent="0.3">
      <c r="K5" s="275"/>
      <c r="L5" s="305" t="s">
        <v>313</v>
      </c>
      <c r="M5" s="682" t="str">
        <f>IF(N5="","         voer hier de naam van de opdrachtgever in","")</f>
        <v/>
      </c>
      <c r="N5" s="841" t="str">
        <f>'invoer Basis'!N5</f>
        <v>Naam opdrachtgever</v>
      </c>
      <c r="O5" s="20"/>
      <c r="P5" s="20"/>
      <c r="Q5" s="20"/>
      <c r="R5" s="20"/>
      <c r="S5" s="20"/>
      <c r="T5" s="20"/>
      <c r="U5" s="20"/>
      <c r="V5" s="20"/>
      <c r="W5" s="20"/>
      <c r="X5" s="20"/>
      <c r="Y5" s="20"/>
      <c r="Z5" s="20"/>
      <c r="AA5" s="20"/>
      <c r="AB5" s="20"/>
      <c r="AC5" s="20"/>
      <c r="AD5" s="20"/>
      <c r="AE5" s="20"/>
      <c r="AF5" s="20"/>
      <c r="AG5" s="20"/>
      <c r="AH5" s="20"/>
      <c r="AI5" s="20"/>
      <c r="AJ5" s="20"/>
      <c r="AK5" s="20"/>
      <c r="AL5" s="167"/>
      <c r="AM5" s="167"/>
      <c r="AN5" s="183"/>
      <c r="AO5" s="20"/>
      <c r="AP5" s="707" t="s">
        <v>372</v>
      </c>
      <c r="BYT5" s="299"/>
      <c r="BYU5" s="299"/>
      <c r="BYV5" s="299"/>
      <c r="BYW5" s="299"/>
      <c r="BYX5" s="299"/>
      <c r="BYY5" s="299"/>
      <c r="BYZ5" s="299"/>
      <c r="BZA5" s="299"/>
      <c r="BZB5" s="299"/>
      <c r="BZC5" s="299"/>
      <c r="BZD5" s="299"/>
      <c r="BZE5" s="299"/>
      <c r="BZF5" s="299"/>
      <c r="BZG5" s="299"/>
      <c r="BZH5" s="299"/>
      <c r="BZI5" s="299"/>
      <c r="BZJ5" s="299"/>
      <c r="BZK5" s="299"/>
      <c r="BZL5" s="299"/>
      <c r="BZM5" s="299"/>
      <c r="BZN5" s="299"/>
      <c r="BZO5" s="299"/>
      <c r="BZP5" s="299"/>
      <c r="BZQ5" s="299"/>
      <c r="BZR5" s="299"/>
      <c r="BZS5" s="299"/>
      <c r="BZT5" s="299"/>
      <c r="BZU5" s="299"/>
      <c r="BZV5" s="299"/>
      <c r="BZW5" s="299"/>
      <c r="BZX5" s="299"/>
      <c r="BZY5" s="299"/>
      <c r="BZZ5" s="280"/>
      <c r="CAA5" s="281"/>
      <c r="CAB5" s="281"/>
      <c r="CAC5" s="282"/>
    </row>
    <row r="6" spans="1:67 2022:2057" ht="15.6" x14ac:dyDescent="0.3">
      <c r="K6" s="275"/>
      <c r="L6" s="305" t="s">
        <v>316</v>
      </c>
      <c r="M6" s="682" t="str">
        <f>IF(N6="","         voer hier de locatie van het project in","")</f>
        <v/>
      </c>
      <c r="N6" s="841" t="str">
        <f>'invoer Basis'!N6</f>
        <v>Plaatsnaam</v>
      </c>
      <c r="O6" s="20"/>
      <c r="P6" s="20"/>
      <c r="Q6" s="20"/>
      <c r="R6" s="20"/>
      <c r="S6" s="20"/>
      <c r="T6" s="20"/>
      <c r="U6" s="20"/>
      <c r="V6" s="20"/>
      <c r="W6" s="20"/>
      <c r="X6" s="20"/>
      <c r="Y6" s="20"/>
      <c r="Z6" s="20"/>
      <c r="AA6" s="20"/>
      <c r="AB6" s="20"/>
      <c r="AC6" s="20"/>
      <c r="AD6" s="20"/>
      <c r="AE6" s="20"/>
      <c r="AF6" s="20"/>
      <c r="AG6" s="20"/>
      <c r="AH6" s="20"/>
      <c r="AI6" s="20"/>
      <c r="AJ6" s="20"/>
      <c r="AK6" s="20"/>
      <c r="AL6" s="167"/>
      <c r="AM6" s="694"/>
      <c r="AN6" s="686"/>
      <c r="AO6" s="687"/>
      <c r="AP6" s="704" t="s">
        <v>661</v>
      </c>
      <c r="BYT6" s="299"/>
      <c r="BYU6" s="299"/>
      <c r="BYV6" s="299"/>
      <c r="BYW6" s="299"/>
      <c r="BYX6" s="299"/>
      <c r="BYY6" s="299"/>
      <c r="BYZ6" s="299"/>
      <c r="BZA6" s="299"/>
      <c r="BZB6" s="299"/>
      <c r="BZC6" s="299"/>
      <c r="BZD6" s="299"/>
      <c r="BZE6" s="299"/>
      <c r="BZF6" s="299"/>
      <c r="BZG6" s="299"/>
      <c r="BZH6" s="299"/>
      <c r="BZI6" s="299"/>
      <c r="BZJ6" s="299"/>
      <c r="BZK6" s="299"/>
      <c r="BZL6" s="299"/>
      <c r="BZM6" s="299"/>
      <c r="BZN6" s="299"/>
      <c r="BZO6" s="299"/>
      <c r="BZP6" s="299"/>
      <c r="BZQ6" s="299"/>
      <c r="BZR6" s="299"/>
      <c r="BZS6" s="299"/>
      <c r="BZT6" s="299"/>
      <c r="BZU6" s="299"/>
      <c r="BZV6" s="299"/>
      <c r="BZW6" s="299"/>
      <c r="BZX6" s="299"/>
      <c r="BZY6" s="299"/>
      <c r="BZZ6" s="280"/>
      <c r="CAA6" s="281"/>
      <c r="CAB6" s="281"/>
      <c r="CAC6" s="282"/>
    </row>
    <row r="7" spans="1:67 2022:2057" ht="15.6" x14ac:dyDescent="0.3">
      <c r="K7" s="275"/>
      <c r="L7" s="305" t="s">
        <v>317</v>
      </c>
      <c r="M7" s="684" t="str">
        <f>IF(N7="","         voer hier de naam van het berekende alternatief in","")</f>
        <v/>
      </c>
      <c r="N7" s="741" t="s">
        <v>433</v>
      </c>
      <c r="O7" s="20"/>
      <c r="P7" s="20"/>
      <c r="Q7" s="20"/>
      <c r="R7" s="20"/>
      <c r="S7" s="20"/>
      <c r="T7" s="20"/>
      <c r="U7" s="20"/>
      <c r="V7" s="20"/>
      <c r="W7" s="20"/>
      <c r="X7" s="20"/>
      <c r="Y7" s="20"/>
      <c r="Z7" s="20"/>
      <c r="AA7" s="20"/>
      <c r="AB7" s="20"/>
      <c r="AC7" s="20"/>
      <c r="AD7" s="20"/>
      <c r="AE7" s="20"/>
      <c r="AF7" s="20"/>
      <c r="AG7" s="20"/>
      <c r="AH7" s="20"/>
      <c r="AI7" s="20"/>
      <c r="AJ7" s="20"/>
      <c r="AK7" s="20"/>
      <c r="AL7" s="167"/>
      <c r="AM7" s="167"/>
      <c r="AN7" s="183"/>
      <c r="AO7" s="20"/>
      <c r="AP7" s="617"/>
      <c r="BYT7" s="299"/>
      <c r="BYU7" s="299"/>
      <c r="BYV7" s="299"/>
      <c r="BYW7" s="299"/>
      <c r="BYX7" s="299"/>
      <c r="BYY7" s="299"/>
      <c r="BYZ7" s="299"/>
      <c r="BZA7" s="299"/>
      <c r="BZB7" s="299"/>
      <c r="BZC7" s="299"/>
      <c r="BZD7" s="299"/>
      <c r="BZE7" s="299"/>
      <c r="BZF7" s="299"/>
      <c r="BZG7" s="299"/>
      <c r="BZH7" s="299"/>
      <c r="BZI7" s="299"/>
      <c r="BZJ7" s="299"/>
      <c r="BZK7" s="299"/>
      <c r="BZL7" s="299"/>
      <c r="BZM7" s="299"/>
      <c r="BZN7" s="299"/>
      <c r="BZO7" s="299"/>
      <c r="BZP7" s="299"/>
      <c r="BZQ7" s="299"/>
      <c r="BZR7" s="299"/>
      <c r="BZS7" s="299"/>
      <c r="BZT7" s="299"/>
      <c r="BZU7" s="299"/>
      <c r="BZV7" s="299"/>
      <c r="BZW7" s="299"/>
      <c r="BZX7" s="299"/>
      <c r="BZY7" s="299"/>
      <c r="BZZ7" s="280"/>
      <c r="CAA7" s="281"/>
      <c r="CAB7" s="281"/>
      <c r="CAC7" s="282"/>
    </row>
    <row r="8" spans="1:67 2022:2057" ht="15.6" x14ac:dyDescent="0.3">
      <c r="K8" s="275"/>
      <c r="L8" s="305" t="s">
        <v>315</v>
      </c>
      <c r="M8" s="683"/>
      <c r="N8" s="840" t="str">
        <f>'invoer Basis'!$N$8</f>
        <v>verkenningsfase</v>
      </c>
      <c r="O8" s="20"/>
      <c r="P8" s="20"/>
      <c r="Q8" s="20"/>
      <c r="R8" s="20"/>
      <c r="S8" s="20"/>
      <c r="T8" s="20"/>
      <c r="U8" s="20"/>
      <c r="V8" s="20"/>
      <c r="W8" s="20"/>
      <c r="X8" s="20"/>
      <c r="Y8" s="20"/>
      <c r="Z8" s="20"/>
      <c r="AA8" s="20"/>
      <c r="AB8" s="20"/>
      <c r="AC8" s="20"/>
      <c r="AD8" s="20"/>
      <c r="AE8" s="20"/>
      <c r="AF8" s="20"/>
      <c r="AG8" s="20"/>
      <c r="AH8" s="20"/>
      <c r="AI8" s="20"/>
      <c r="AJ8" s="20"/>
      <c r="AK8" s="20"/>
      <c r="AL8" s="167"/>
      <c r="AM8" s="167"/>
      <c r="AN8" s="183"/>
      <c r="AO8" s="302"/>
      <c r="AP8" s="617"/>
      <c r="BYT8" s="299"/>
      <c r="BYU8" s="299"/>
      <c r="BYV8" s="299"/>
      <c r="BYW8" s="299"/>
      <c r="BYX8" s="299"/>
      <c r="BYY8" s="299"/>
      <c r="BYZ8" s="299"/>
      <c r="BZA8" s="299"/>
      <c r="BZB8" s="299"/>
      <c r="BZC8" s="299"/>
      <c r="BZD8" s="299"/>
      <c r="BZE8" s="299"/>
      <c r="BZF8" s="299"/>
      <c r="BZG8" s="299"/>
      <c r="BZH8" s="299"/>
      <c r="BZI8" s="299"/>
      <c r="BZJ8" s="299"/>
      <c r="BZK8" s="299"/>
      <c r="BZL8" s="299"/>
      <c r="BZM8" s="299"/>
      <c r="BZN8" s="299"/>
      <c r="BZO8" s="299"/>
      <c r="BZP8" s="299"/>
      <c r="BZQ8" s="299"/>
      <c r="BZR8" s="299"/>
      <c r="BZS8" s="299"/>
      <c r="BZT8" s="299"/>
      <c r="BZU8" s="299"/>
      <c r="BZV8" s="299"/>
      <c r="BZW8" s="299"/>
      <c r="BZX8" s="299"/>
      <c r="BZY8" s="299"/>
      <c r="BZZ8" s="280"/>
      <c r="CAA8" s="281"/>
      <c r="CAB8" s="281"/>
      <c r="CAC8" s="282"/>
    </row>
    <row r="9" spans="1:67 2022:2057" ht="15.6" x14ac:dyDescent="0.3">
      <c r="K9" s="275"/>
      <c r="L9" s="305"/>
      <c r="M9" s="681"/>
      <c r="N9" s="743" t="str">
        <f>IF(N8="","klik op het blauwe vlak en selecteer via het pull down menu de te beoordelen fase waarin het project zich bevindt (t.b.v. bepaling weegfactoren)","")</f>
        <v/>
      </c>
      <c r="O9" s="20"/>
      <c r="P9" s="20"/>
      <c r="Q9" s="20"/>
      <c r="R9" s="20"/>
      <c r="S9" s="20"/>
      <c r="T9" s="20"/>
      <c r="U9" s="20"/>
      <c r="V9" s="20"/>
      <c r="W9" s="20"/>
      <c r="X9" s="20"/>
      <c r="Y9" s="20"/>
      <c r="Z9" s="20"/>
      <c r="AA9" s="20"/>
      <c r="AB9" s="20"/>
      <c r="AC9" s="20"/>
      <c r="AD9" s="20"/>
      <c r="AE9" s="20"/>
      <c r="AF9" s="20"/>
      <c r="AG9" s="20"/>
      <c r="AH9" s="20"/>
      <c r="AI9" s="20"/>
      <c r="AJ9" s="20"/>
      <c r="AK9" s="20"/>
      <c r="AL9" s="167"/>
      <c r="AM9" s="694"/>
      <c r="AN9" s="688"/>
      <c r="AO9" s="687"/>
      <c r="AP9" s="707" t="s">
        <v>20</v>
      </c>
      <c r="BYT9" s="299"/>
      <c r="BYU9" s="299"/>
      <c r="BYV9" s="299"/>
      <c r="BYW9" s="299"/>
      <c r="BYX9" s="299"/>
      <c r="BYY9" s="299"/>
      <c r="BYZ9" s="299"/>
      <c r="BZA9" s="299"/>
      <c r="BZB9" s="299"/>
      <c r="BZC9" s="299"/>
      <c r="BZD9" s="299"/>
      <c r="BZE9" s="299"/>
      <c r="BZF9" s="299"/>
      <c r="BZG9" s="299"/>
      <c r="BZH9" s="299"/>
      <c r="BZI9" s="299"/>
      <c r="BZJ9" s="299"/>
      <c r="BZK9" s="299"/>
      <c r="BZL9" s="299"/>
      <c r="BZM9" s="299"/>
      <c r="BZN9" s="299"/>
      <c r="BZO9" s="299"/>
      <c r="BZP9" s="299"/>
      <c r="BZQ9" s="299"/>
      <c r="BZR9" s="299"/>
      <c r="BZS9" s="299"/>
      <c r="BZT9" s="299"/>
      <c r="BZU9" s="299"/>
      <c r="BZV9" s="299"/>
      <c r="BZW9" s="299"/>
      <c r="BZX9" s="299"/>
      <c r="BZY9" s="299"/>
      <c r="BZZ9" s="280"/>
      <c r="CAA9" s="281"/>
      <c r="CAB9" s="281"/>
      <c r="CAC9" s="282"/>
    </row>
    <row r="10" spans="1:67 2022:2057" ht="15.6" x14ac:dyDescent="0.3">
      <c r="K10" s="275"/>
      <c r="L10" s="305" t="s">
        <v>23</v>
      </c>
      <c r="M10" s="552" t="str">
        <f>IF(N10="","         klik op dit vlak om tekst in te voeren","")</f>
        <v/>
      </c>
      <c r="N10" s="739" t="s">
        <v>443</v>
      </c>
      <c r="O10" s="20"/>
      <c r="P10" s="20"/>
      <c r="Q10" s="20"/>
      <c r="R10" s="20"/>
      <c r="S10" s="20"/>
      <c r="T10" s="20"/>
      <c r="U10" s="20"/>
      <c r="V10" s="20"/>
      <c r="W10" s="20"/>
      <c r="X10" s="20"/>
      <c r="Y10" s="20"/>
      <c r="Z10" s="20"/>
      <c r="AA10" s="20"/>
      <c r="AB10" s="20"/>
      <c r="AC10" s="20"/>
      <c r="AD10" s="20"/>
      <c r="AE10" s="20"/>
      <c r="AF10" s="20"/>
      <c r="AG10" s="20"/>
      <c r="AH10" s="20"/>
      <c r="AI10" s="20"/>
      <c r="AJ10" s="20"/>
      <c r="AK10" s="20"/>
      <c r="AL10" s="167"/>
      <c r="AM10" s="694"/>
      <c r="AN10" s="689"/>
      <c r="AO10" s="687"/>
      <c r="AP10" s="704">
        <v>18012022</v>
      </c>
      <c r="BYT10" s="299"/>
      <c r="BYU10" s="299"/>
      <c r="BYV10" s="299"/>
      <c r="BYW10" s="299"/>
      <c r="BYX10" s="299"/>
      <c r="BYY10" s="299"/>
      <c r="BYZ10" s="299"/>
      <c r="BZA10" s="299"/>
      <c r="BZB10" s="299"/>
      <c r="BZC10" s="299"/>
      <c r="BZD10" s="299"/>
      <c r="BZE10" s="299"/>
      <c r="BZF10" s="299"/>
      <c r="BZG10" s="299"/>
      <c r="BZH10" s="299"/>
      <c r="BZI10" s="299"/>
      <c r="BZJ10" s="299"/>
      <c r="BZK10" s="299"/>
      <c r="BZL10" s="299"/>
      <c r="BZM10" s="299"/>
      <c r="BZN10" s="299"/>
      <c r="BZO10" s="299"/>
      <c r="BZP10" s="299"/>
      <c r="BZQ10" s="299"/>
      <c r="BZR10" s="299"/>
      <c r="BZS10" s="299"/>
      <c r="BZT10" s="299"/>
      <c r="BZU10" s="299"/>
      <c r="BZV10" s="299"/>
      <c r="BZW10" s="299"/>
      <c r="BZX10" s="299"/>
      <c r="BZY10" s="299"/>
      <c r="BZZ10" s="280"/>
      <c r="CAA10" s="281"/>
      <c r="CAB10" s="281"/>
      <c r="CAC10" s="282"/>
    </row>
    <row r="11" spans="1:67 2022:2057" ht="15.6" x14ac:dyDescent="0.3">
      <c r="K11" s="275"/>
      <c r="L11" s="305" t="s">
        <v>24</v>
      </c>
      <c r="M11" s="552" t="str">
        <f>IF(N11="","         klik op dit vlak om tekst in te voeren","")</f>
        <v/>
      </c>
      <c r="N11" s="774" t="s">
        <v>444</v>
      </c>
      <c r="O11" s="20"/>
      <c r="P11" s="20"/>
      <c r="Q11" s="20"/>
      <c r="R11" s="20"/>
      <c r="S11" s="20"/>
      <c r="T11" s="20"/>
      <c r="U11" s="20"/>
      <c r="V11" s="20"/>
      <c r="W11" s="20"/>
      <c r="X11" s="20"/>
      <c r="Y11" s="20"/>
      <c r="Z11" s="20"/>
      <c r="AA11" s="20"/>
      <c r="AB11" s="20"/>
      <c r="AC11" s="20"/>
      <c r="AD11" s="20"/>
      <c r="AE11" s="20"/>
      <c r="AF11" s="20"/>
      <c r="AG11" s="20"/>
      <c r="AH11" s="20"/>
      <c r="AI11" s="20"/>
      <c r="AJ11" s="20"/>
      <c r="AK11" s="20"/>
      <c r="AL11" s="167"/>
      <c r="AM11" s="694"/>
      <c r="AN11" s="689"/>
      <c r="AO11" s="687"/>
      <c r="AP11" s="705"/>
      <c r="BYT11" s="299"/>
      <c r="BYU11" s="299"/>
      <c r="BYV11" s="299"/>
      <c r="BYW11" s="299"/>
      <c r="BYX11" s="299"/>
      <c r="BYY11" s="299"/>
      <c r="BYZ11" s="299"/>
      <c r="BZA11" s="299"/>
      <c r="BZB11" s="299"/>
      <c r="BZC11" s="299"/>
      <c r="BZD11" s="299"/>
      <c r="BZE11" s="299"/>
      <c r="BZF11" s="299"/>
      <c r="BZG11" s="299"/>
      <c r="BZH11" s="299"/>
      <c r="BZI11" s="299"/>
      <c r="BZJ11" s="299"/>
      <c r="BZK11" s="299"/>
      <c r="BZL11" s="299"/>
      <c r="BZM11" s="299"/>
      <c r="BZN11" s="299"/>
      <c r="BZO11" s="299"/>
      <c r="BZP11" s="299"/>
      <c r="BZQ11" s="299"/>
      <c r="BZR11" s="299"/>
      <c r="BZS11" s="299"/>
      <c r="BZT11" s="299"/>
      <c r="BZU11" s="299"/>
      <c r="BZV11" s="299"/>
      <c r="BZW11" s="299"/>
      <c r="BZX11" s="299"/>
      <c r="BZY11" s="299"/>
      <c r="BZZ11" s="280"/>
      <c r="CAA11" s="281"/>
      <c r="CAB11" s="281"/>
      <c r="CAC11" s="282"/>
    </row>
    <row r="12" spans="1:67 2022:2057" ht="16.2" thickBot="1" x14ac:dyDescent="0.35">
      <c r="K12" s="276"/>
      <c r="L12" s="306" t="s">
        <v>25</v>
      </c>
      <c r="M12" s="552" t="str">
        <f>IF(N12="","         klik op dit vlak om tekst in te voeren","")</f>
        <v/>
      </c>
      <c r="N12" s="744" t="s">
        <v>445</v>
      </c>
      <c r="O12" s="164"/>
      <c r="P12" s="164"/>
      <c r="Q12" s="164"/>
      <c r="R12" s="164"/>
      <c r="S12" s="164"/>
      <c r="T12" s="164"/>
      <c r="U12" s="164"/>
      <c r="V12" s="164"/>
      <c r="W12" s="164"/>
      <c r="X12" s="164"/>
      <c r="Y12" s="164"/>
      <c r="Z12" s="164"/>
      <c r="AA12" s="164"/>
      <c r="AB12" s="164"/>
      <c r="AC12" s="164"/>
      <c r="AD12" s="164"/>
      <c r="AE12" s="164"/>
      <c r="AF12" s="164"/>
      <c r="AG12" s="164"/>
      <c r="AH12" s="164"/>
      <c r="AI12" s="164"/>
      <c r="AJ12" s="164"/>
      <c r="AK12" s="164"/>
      <c r="AL12" s="700"/>
      <c r="AM12" s="701"/>
      <c r="AN12" s="690"/>
      <c r="AO12" s="691"/>
      <c r="AP12" s="706"/>
      <c r="BYT12" s="299"/>
      <c r="BYU12" s="299"/>
      <c r="BYV12" s="299"/>
      <c r="BYW12" s="299"/>
      <c r="BYX12" s="299"/>
      <c r="BYY12" s="299"/>
      <c r="BYZ12" s="299"/>
      <c r="BZA12" s="299"/>
      <c r="BZB12" s="299"/>
      <c r="BZC12" s="299"/>
      <c r="BZD12" s="299"/>
      <c r="BZE12" s="299"/>
      <c r="BZF12" s="299"/>
      <c r="BZG12" s="299"/>
      <c r="BZH12" s="299"/>
      <c r="BZI12" s="299"/>
      <c r="BZJ12" s="299"/>
      <c r="BZK12" s="299"/>
      <c r="BZL12" s="299"/>
      <c r="BZM12" s="299"/>
      <c r="BZN12" s="299"/>
      <c r="BZO12" s="299"/>
      <c r="BZP12" s="299"/>
      <c r="BZQ12" s="299"/>
      <c r="BZR12" s="299"/>
      <c r="BZS12" s="299"/>
      <c r="BZT12" s="299"/>
      <c r="BZU12" s="299"/>
      <c r="BZV12" s="299"/>
      <c r="BZW12" s="299"/>
      <c r="BZX12" s="299"/>
      <c r="BZY12" s="299"/>
      <c r="BZZ12" s="280"/>
      <c r="CAA12" s="281"/>
      <c r="CAB12" s="281"/>
      <c r="CAC12" s="282"/>
    </row>
    <row r="13" spans="1:67 2022:2057" ht="14.4" customHeight="1" x14ac:dyDescent="0.3">
      <c r="N13" s="544"/>
      <c r="BYT13" s="299"/>
      <c r="BYU13" s="299"/>
      <c r="BYV13" s="299"/>
      <c r="BYW13" s="299"/>
      <c r="BYX13" s="299"/>
      <c r="BYY13" s="299"/>
      <c r="BYZ13" s="299"/>
      <c r="BZA13" s="299"/>
      <c r="BZB13" s="299"/>
      <c r="BZC13" s="299"/>
      <c r="BZD13" s="299"/>
      <c r="BZE13" s="299"/>
      <c r="BZF13" s="299"/>
      <c r="BZG13" s="299"/>
      <c r="BZH13" s="299"/>
      <c r="BZI13" s="299"/>
      <c r="BZJ13" s="299"/>
      <c r="BZK13" s="299"/>
      <c r="BZL13" s="299"/>
      <c r="BZM13" s="299"/>
      <c r="BZN13" s="299"/>
      <c r="BZO13" s="299"/>
      <c r="BZP13" s="299"/>
      <c r="BZQ13" s="299"/>
      <c r="BZR13" s="299"/>
      <c r="BZS13" s="299"/>
      <c r="BZT13" s="299"/>
      <c r="BZU13" s="299"/>
      <c r="BZV13" s="299"/>
      <c r="BZW13" s="299"/>
      <c r="BZX13" s="299"/>
      <c r="BZY13" s="299"/>
      <c r="BZZ13" s="280"/>
      <c r="CAA13" s="281"/>
      <c r="CAB13" s="281"/>
      <c r="CAC13" s="282"/>
    </row>
    <row r="14" spans="1:67 2022:2057" s="372" customFormat="1" ht="14.4" hidden="1" customHeight="1" x14ac:dyDescent="0.3">
      <c r="J14" s="373"/>
      <c r="L14" s="557"/>
      <c r="M14" s="555"/>
      <c r="N14" s="544" t="s">
        <v>26</v>
      </c>
      <c r="AN14" s="374"/>
      <c r="AP14" s="618"/>
      <c r="BM14" s="375"/>
      <c r="BN14" s="375"/>
      <c r="BO14" s="375"/>
      <c r="BYT14" s="659"/>
      <c r="BYU14" s="659"/>
      <c r="BYV14" s="659"/>
      <c r="BYW14" s="659"/>
      <c r="BYX14" s="659"/>
      <c r="BYY14" s="659"/>
      <c r="BYZ14" s="659"/>
      <c r="BZA14" s="659"/>
      <c r="BZB14" s="659"/>
      <c r="BZC14" s="659"/>
      <c r="BZD14" s="659"/>
      <c r="BZE14" s="659"/>
      <c r="BZF14" s="659"/>
      <c r="BZG14" s="659"/>
      <c r="BZH14" s="659"/>
      <c r="BZI14" s="659"/>
      <c r="BZJ14" s="659"/>
      <c r="BZK14" s="659"/>
      <c r="BZL14" s="659"/>
      <c r="BZM14" s="659"/>
      <c r="BZN14" s="659"/>
      <c r="BZO14" s="659"/>
      <c r="BZP14" s="659"/>
      <c r="BZQ14" s="659"/>
      <c r="BZR14" s="659"/>
      <c r="BZS14" s="659"/>
      <c r="BZT14" s="659"/>
      <c r="BZU14" s="659"/>
      <c r="BZV14" s="659"/>
      <c r="BZW14" s="659"/>
      <c r="BZX14" s="659"/>
      <c r="BZY14" s="659"/>
      <c r="BZZ14" s="376"/>
      <c r="CAA14" s="377"/>
      <c r="CAB14" s="377"/>
      <c r="CAC14" s="378"/>
    </row>
    <row r="15" spans="1:67 2022:2057" ht="14.4" hidden="1" customHeight="1" x14ac:dyDescent="0.3">
      <c r="I15" s="1"/>
      <c r="N15" s="545" t="s">
        <v>27</v>
      </c>
      <c r="V15" s="5"/>
      <c r="W15" t="s">
        <v>28</v>
      </c>
      <c r="AE15" s="111">
        <f t="shared" ref="AE15:AK15" si="0">BZK64</f>
        <v>0</v>
      </c>
      <c r="AF15" s="111">
        <f t="shared" si="0"/>
        <v>1</v>
      </c>
      <c r="AG15" s="111">
        <f t="shared" si="0"/>
        <v>0</v>
      </c>
      <c r="AH15" s="111">
        <f t="shared" si="0"/>
        <v>0</v>
      </c>
      <c r="AI15" s="111">
        <f t="shared" si="0"/>
        <v>0</v>
      </c>
      <c r="AJ15" s="111">
        <f t="shared" si="0"/>
        <v>0</v>
      </c>
      <c r="AK15" s="111">
        <f t="shared" si="0"/>
        <v>0</v>
      </c>
      <c r="BYT15" s="299"/>
      <c r="BYU15" s="299"/>
      <c r="BYV15" s="299"/>
      <c r="BYW15" s="299"/>
      <c r="BYX15" s="299"/>
      <c r="BYY15" s="299">
        <f>BZK64</f>
        <v>0</v>
      </c>
      <c r="BYZ15" s="299">
        <f>BYY15</f>
        <v>0</v>
      </c>
      <c r="BZA15" s="299"/>
      <c r="BZB15" s="299"/>
      <c r="BZC15" s="299">
        <f>BZL64</f>
        <v>1</v>
      </c>
      <c r="BZD15" s="299">
        <f>BZC15</f>
        <v>1</v>
      </c>
      <c r="BZE15" s="299"/>
      <c r="BZF15" s="299"/>
      <c r="BZG15" s="299">
        <f>BZM64</f>
        <v>0</v>
      </c>
      <c r="BZH15" s="299">
        <f>BZG15</f>
        <v>0</v>
      </c>
      <c r="BZI15" s="299"/>
      <c r="BZJ15" s="299"/>
      <c r="BZK15" s="299">
        <f>BZN64</f>
        <v>0</v>
      </c>
      <c r="BZL15" s="299">
        <f>BZK15</f>
        <v>0</v>
      </c>
      <c r="BZM15" s="299"/>
      <c r="BZN15" s="299"/>
      <c r="BZO15" s="299">
        <f>BZO64</f>
        <v>0</v>
      </c>
      <c r="BZP15" s="299">
        <f>BZO15</f>
        <v>0</v>
      </c>
      <c r="BZQ15" s="299"/>
      <c r="BZR15" s="299"/>
      <c r="BZS15" s="299">
        <f>BZP64</f>
        <v>0</v>
      </c>
      <c r="BZT15" s="299">
        <f>BZS15</f>
        <v>0</v>
      </c>
      <c r="BZU15" s="299"/>
      <c r="BZV15" s="299"/>
      <c r="BZW15" s="299">
        <f>BZQ64</f>
        <v>0</v>
      </c>
      <c r="BZX15" s="299">
        <f>BZW15</f>
        <v>0</v>
      </c>
      <c r="BZY15" s="299"/>
      <c r="BZZ15" s="280"/>
      <c r="CAA15" s="281"/>
      <c r="CAB15" s="281"/>
      <c r="CAC15" s="282"/>
    </row>
    <row r="16" spans="1:67 2022:2057" ht="14.4" hidden="1" customHeight="1" x14ac:dyDescent="0.3">
      <c r="A16" s="17" t="s">
        <v>29</v>
      </c>
      <c r="B16" s="12" t="s">
        <v>30</v>
      </c>
      <c r="C16" s="12" t="s">
        <v>31</v>
      </c>
      <c r="D16" s="12" t="s">
        <v>32</v>
      </c>
      <c r="E16" s="12" t="s">
        <v>33</v>
      </c>
      <c r="F16" s="12" t="s">
        <v>34</v>
      </c>
      <c r="G16" s="12" t="s">
        <v>35</v>
      </c>
      <c r="H16" s="12"/>
      <c r="I16" s="12"/>
      <c r="J16" s="12"/>
      <c r="K16" s="4"/>
      <c r="L16" s="4"/>
      <c r="M16" s="4"/>
      <c r="N16" s="545" t="s">
        <v>36</v>
      </c>
      <c r="V16" s="5"/>
      <c r="W16" s="3" t="s">
        <v>29</v>
      </c>
      <c r="X16" s="4" t="s">
        <v>30</v>
      </c>
      <c r="Y16" s="4" t="s">
        <v>31</v>
      </c>
      <c r="Z16" s="4" t="s">
        <v>32</v>
      </c>
      <c r="AA16" s="4" t="s">
        <v>33</v>
      </c>
      <c r="AB16" s="4" t="s">
        <v>34</v>
      </c>
      <c r="AC16" s="4" t="s">
        <v>35</v>
      </c>
      <c r="AD16" s="4" t="s">
        <v>37</v>
      </c>
      <c r="AE16" s="79" t="s">
        <v>38</v>
      </c>
      <c r="AF16" s="2" t="s">
        <v>31</v>
      </c>
      <c r="AG16" s="2" t="s">
        <v>32</v>
      </c>
      <c r="AH16" s="2" t="s">
        <v>33</v>
      </c>
      <c r="AI16" s="2" t="s">
        <v>34</v>
      </c>
      <c r="AJ16" s="2" t="s">
        <v>35</v>
      </c>
      <c r="AK16" s="2" t="s">
        <v>39</v>
      </c>
      <c r="BYT16" s="299"/>
      <c r="BYU16" s="299"/>
      <c r="BYV16" s="299"/>
      <c r="BYW16" s="299"/>
      <c r="BYX16" s="299"/>
      <c r="BYY16" s="299"/>
      <c r="BYZ16" s="299"/>
      <c r="BZA16" s="299"/>
      <c r="BZB16" s="299"/>
      <c r="BZC16" s="299"/>
      <c r="BZD16" s="299"/>
      <c r="BZE16" s="299"/>
      <c r="BZF16" s="299"/>
      <c r="BZG16" s="299"/>
      <c r="BZH16" s="299"/>
      <c r="BZI16" s="299"/>
      <c r="BZJ16" s="299"/>
      <c r="BZK16" s="299"/>
      <c r="BZL16" s="299"/>
      <c r="BZM16" s="299"/>
      <c r="BZN16" s="299"/>
      <c r="BZO16" s="299"/>
      <c r="BZP16" s="299"/>
      <c r="BZQ16" s="299"/>
      <c r="BZR16" s="299"/>
      <c r="BZS16" s="299"/>
      <c r="BZT16" s="299"/>
      <c r="BZU16" s="299"/>
      <c r="BZV16" s="299"/>
      <c r="BZW16" s="299"/>
      <c r="BZX16" s="299"/>
      <c r="BZY16" s="299"/>
      <c r="BZZ16" s="280"/>
      <c r="CAA16" s="281"/>
      <c r="CAB16" s="281"/>
      <c r="CAC16" s="282"/>
    </row>
    <row r="17" spans="1:47 2022:2057" ht="14.4" hidden="1" customHeight="1" x14ac:dyDescent="0.3">
      <c r="A17" s="17"/>
      <c r="B17" s="12"/>
      <c r="C17" s="12"/>
      <c r="D17" s="12"/>
      <c r="E17" s="12"/>
      <c r="F17" s="12"/>
      <c r="G17" s="12"/>
      <c r="H17" s="12"/>
      <c r="I17" s="12"/>
      <c r="J17" s="12"/>
      <c r="K17" s="4"/>
      <c r="L17" s="4"/>
      <c r="M17" s="4"/>
      <c r="N17" s="545" t="s">
        <v>314</v>
      </c>
      <c r="V17" s="5"/>
      <c r="W17" s="3"/>
      <c r="X17" s="4"/>
      <c r="Y17" s="4"/>
      <c r="Z17" s="4"/>
      <c r="AA17" s="4"/>
      <c r="AB17" s="4"/>
      <c r="AC17" s="4"/>
      <c r="AD17" s="4"/>
      <c r="AE17" s="79"/>
      <c r="AF17" s="2"/>
      <c r="AG17" s="2"/>
      <c r="AH17" s="2"/>
      <c r="AI17" s="2"/>
      <c r="AJ17" s="2"/>
      <c r="AK17" s="2"/>
      <c r="BYT17" s="299"/>
      <c r="BYU17" s="299"/>
      <c r="BYV17" s="299"/>
      <c r="BYW17" s="299"/>
      <c r="BYX17" s="299"/>
      <c r="BYY17" s="299"/>
      <c r="BYZ17" s="299"/>
      <c r="BZA17" s="299"/>
      <c r="BZB17" s="299"/>
      <c r="BZC17" s="299"/>
      <c r="BZD17" s="299"/>
      <c r="BZE17" s="299"/>
      <c r="BZF17" s="299"/>
      <c r="BZG17" s="299"/>
      <c r="BZH17" s="299"/>
      <c r="BZI17" s="299"/>
      <c r="BZJ17" s="299"/>
      <c r="BZK17" s="299"/>
      <c r="BZL17" s="299"/>
      <c r="BZM17" s="299"/>
      <c r="BZN17" s="299"/>
      <c r="BZO17" s="299"/>
      <c r="BZP17" s="299"/>
      <c r="BZQ17" s="299"/>
      <c r="BZR17" s="299"/>
      <c r="BZS17" s="299"/>
      <c r="BZT17" s="299"/>
      <c r="BZU17" s="299"/>
      <c r="BZV17" s="299"/>
      <c r="BZW17" s="299"/>
      <c r="BZX17" s="299"/>
      <c r="BZY17" s="299"/>
      <c r="BZZ17" s="280"/>
      <c r="CAA17" s="281"/>
      <c r="CAB17" s="281"/>
      <c r="CAC17" s="282"/>
    </row>
    <row r="18" spans="1:47 2022:2057" ht="14.4" hidden="1" customHeight="1" x14ac:dyDescent="0.3">
      <c r="A18" s="17"/>
      <c r="B18" s="12"/>
      <c r="C18" s="12"/>
      <c r="D18" s="12"/>
      <c r="E18" s="12"/>
      <c r="F18" s="12"/>
      <c r="G18" s="12"/>
      <c r="H18" s="12"/>
      <c r="I18" s="12"/>
      <c r="J18" s="12"/>
      <c r="K18" s="4"/>
      <c r="L18" s="4"/>
      <c r="M18" s="4"/>
      <c r="N18" s="546" t="s">
        <v>40</v>
      </c>
      <c r="V18" s="5"/>
      <c r="W18" s="3"/>
      <c r="X18" s="4"/>
      <c r="Y18" s="4"/>
      <c r="Z18" s="4"/>
      <c r="AA18" s="4"/>
      <c r="AB18" s="4"/>
      <c r="AC18" s="4"/>
      <c r="AD18" s="4"/>
      <c r="AE18" s="79"/>
      <c r="AF18" s="2"/>
      <c r="AG18" s="2"/>
      <c r="AH18" s="2"/>
      <c r="AI18" s="2"/>
      <c r="AJ18" s="2"/>
      <c r="AK18" s="2"/>
      <c r="BYT18" s="299"/>
      <c r="BYU18" s="299"/>
      <c r="BYV18" s="299"/>
      <c r="BYW18" s="299"/>
      <c r="BYX18" s="299"/>
      <c r="BYY18" s="299"/>
      <c r="BYZ18" s="299"/>
      <c r="BZA18" s="299"/>
      <c r="BZB18" s="299"/>
      <c r="BZC18" s="299"/>
      <c r="BZD18" s="299"/>
      <c r="BZE18" s="299"/>
      <c r="BZF18" s="299"/>
      <c r="BZG18" s="299"/>
      <c r="BZH18" s="299"/>
      <c r="BZI18" s="299"/>
      <c r="BZJ18" s="299"/>
      <c r="BZK18" s="299"/>
      <c r="BZL18" s="299"/>
      <c r="BZM18" s="299"/>
      <c r="BZN18" s="299"/>
      <c r="BZO18" s="299"/>
      <c r="BZP18" s="299"/>
      <c r="BZQ18" s="299"/>
      <c r="BZR18" s="299"/>
      <c r="BZS18" s="299"/>
      <c r="BZT18" s="299"/>
      <c r="BZU18" s="299"/>
      <c r="BZV18" s="299"/>
      <c r="BZW18" s="299"/>
      <c r="BZX18" s="299"/>
      <c r="BZY18" s="299"/>
      <c r="BZZ18" s="280"/>
      <c r="CAA18" s="281"/>
      <c r="CAB18" s="281"/>
      <c r="CAC18" s="282"/>
    </row>
    <row r="19" spans="1:47 2022:2057" ht="14.4" hidden="1" customHeight="1" x14ac:dyDescent="0.35">
      <c r="A19" s="17"/>
      <c r="B19" s="12"/>
      <c r="C19" s="12"/>
      <c r="D19" s="12"/>
      <c r="E19" s="12"/>
      <c r="F19" s="12"/>
      <c r="G19" s="12"/>
      <c r="H19" s="12"/>
      <c r="I19" s="12"/>
      <c r="J19" s="235" t="e">
        <f>BZJ53</f>
        <v>#N/A</v>
      </c>
      <c r="K19" s="4"/>
      <c r="L19" s="4"/>
      <c r="M19" s="4"/>
      <c r="N19" s="545" t="s">
        <v>41</v>
      </c>
      <c r="V19" s="5"/>
      <c r="W19" s="3"/>
      <c r="X19" s="4"/>
      <c r="Y19" s="4"/>
      <c r="Z19" s="4"/>
      <c r="AA19" s="4"/>
      <c r="AB19" s="4"/>
      <c r="AC19" s="4"/>
      <c r="AD19" s="4"/>
      <c r="AE19" s="79"/>
      <c r="AF19" s="2"/>
      <c r="AG19" s="2"/>
      <c r="AH19" s="2"/>
      <c r="AI19" s="2"/>
      <c r="AJ19" s="2"/>
      <c r="AK19" s="2"/>
      <c r="AN19" s="17">
        <v>0</v>
      </c>
      <c r="AO19" s="1"/>
      <c r="AP19" s="619">
        <v>100</v>
      </c>
      <c r="BYT19" s="299"/>
      <c r="BYU19" s="299"/>
      <c r="BYV19" s="299"/>
      <c r="BYW19" s="299"/>
      <c r="BYX19" s="299"/>
      <c r="BYY19" s="299"/>
      <c r="BYZ19" s="299"/>
      <c r="BZA19" s="299"/>
      <c r="BZB19" s="299"/>
      <c r="BZC19" s="299"/>
      <c r="BZD19" s="299"/>
      <c r="BZE19" s="299"/>
      <c r="BZF19" s="299"/>
      <c r="BZG19" s="299"/>
      <c r="BZH19" s="299"/>
      <c r="BZI19" s="299"/>
      <c r="BZJ19" s="299"/>
      <c r="BZK19" s="299"/>
      <c r="BZL19" s="299"/>
      <c r="BZM19" s="299"/>
      <c r="BZN19" s="299"/>
      <c r="BZO19" s="299"/>
      <c r="BZP19" s="299"/>
      <c r="BZQ19" s="299"/>
      <c r="BZR19" s="299"/>
      <c r="BZS19" s="299"/>
      <c r="BZT19" s="299"/>
      <c r="BZU19" s="299"/>
      <c r="BZV19" s="299"/>
      <c r="BZW19" s="299"/>
      <c r="BZX19" s="299"/>
      <c r="BZY19" s="299"/>
      <c r="BZZ19" s="280"/>
      <c r="CAA19" s="281"/>
      <c r="CAB19" s="281"/>
      <c r="CAC19" s="282"/>
    </row>
    <row r="20" spans="1:47 2022:2057" hidden="1" x14ac:dyDescent="0.3">
      <c r="A20" s="298"/>
      <c r="B20" s="299"/>
      <c r="C20" s="299"/>
      <c r="D20" s="299"/>
      <c r="E20" s="299"/>
      <c r="F20" s="299"/>
      <c r="G20" s="299"/>
      <c r="H20" s="299"/>
      <c r="I20" s="299"/>
      <c r="J20" s="232" t="str">
        <f>'print Basis'!$G$10&amp;" "&amp;'print Basis'!G8</f>
        <v>invoer Basis Projectnaam</v>
      </c>
      <c r="K20" s="4"/>
      <c r="L20" s="4"/>
      <c r="M20" s="4"/>
      <c r="N20" s="547" t="s">
        <v>42</v>
      </c>
      <c r="V20" s="5"/>
      <c r="W20" s="3"/>
      <c r="X20" s="110">
        <f t="shared" ref="X20:AD20" si="1">BZK64</f>
        <v>0</v>
      </c>
      <c r="Y20" s="110">
        <f t="shared" si="1"/>
        <v>1</v>
      </c>
      <c r="Z20" s="110">
        <f t="shared" si="1"/>
        <v>0</v>
      </c>
      <c r="AA20" s="110">
        <f t="shared" si="1"/>
        <v>0</v>
      </c>
      <c r="AB20" s="110">
        <f t="shared" si="1"/>
        <v>0</v>
      </c>
      <c r="AC20" s="110">
        <f t="shared" si="1"/>
        <v>0</v>
      </c>
      <c r="AD20" s="110">
        <f t="shared" si="1"/>
        <v>0</v>
      </c>
      <c r="AE20" s="79" t="s">
        <v>43</v>
      </c>
      <c r="AF20" s="2"/>
      <c r="AG20" s="2"/>
      <c r="AH20" s="2"/>
      <c r="AI20" s="2"/>
      <c r="AJ20" s="2"/>
      <c r="BYT20" s="299"/>
      <c r="BYU20" s="299"/>
      <c r="BYV20" s="299"/>
      <c r="BYW20" s="299"/>
      <c r="BYX20" s="299"/>
      <c r="BYY20" s="299"/>
      <c r="BYZ20" s="299"/>
      <c r="BZA20" s="299"/>
      <c r="BZB20" s="299"/>
      <c r="BZC20" s="299"/>
      <c r="BZD20" s="299"/>
      <c r="BZE20" s="299"/>
      <c r="BZF20" s="299"/>
      <c r="BZG20" s="299"/>
      <c r="BZH20" s="299"/>
      <c r="BZI20" s="299"/>
      <c r="BZJ20" s="299"/>
      <c r="BZK20" s="299"/>
      <c r="BZL20" s="299"/>
      <c r="BZM20" s="299"/>
      <c r="BZN20" s="299"/>
      <c r="BZO20" s="299"/>
      <c r="BZP20" s="299"/>
      <c r="BZQ20" s="299"/>
      <c r="BZR20" s="299"/>
      <c r="BZS20" s="299"/>
      <c r="BZT20" s="299"/>
      <c r="BZU20" s="299"/>
      <c r="BZV20" s="299"/>
      <c r="BZW20" s="299"/>
      <c r="BZX20" s="299"/>
      <c r="BZY20" s="299"/>
      <c r="BZZ20" s="280"/>
      <c r="CAA20" s="281"/>
      <c r="CAB20" s="281"/>
      <c r="CAC20" s="282"/>
    </row>
    <row r="21" spans="1:47 2022:2057" ht="25.8" x14ac:dyDescent="0.5">
      <c r="A21" s="299"/>
      <c r="B21" s="300">
        <f>SUM(B41,B38,B36,B34,B31,B27,B25,B23)</f>
        <v>1</v>
      </c>
      <c r="C21" s="300">
        <f t="shared" ref="C21:G21" si="2">SUM(C41,C38,C36,C34,C31,C27,C25,C23)</f>
        <v>1</v>
      </c>
      <c r="D21" s="300">
        <f t="shared" si="2"/>
        <v>1</v>
      </c>
      <c r="E21" s="300">
        <f t="shared" si="2"/>
        <v>1</v>
      </c>
      <c r="F21" s="300">
        <f t="shared" si="2"/>
        <v>1</v>
      </c>
      <c r="G21" s="300">
        <f t="shared" si="2"/>
        <v>1</v>
      </c>
      <c r="H21" s="300"/>
      <c r="I21" s="300"/>
      <c r="J21" s="13"/>
      <c r="K21" s="564"/>
      <c r="L21" s="565" t="str">
        <f>'print Basis'!G8</f>
        <v>Projectnaam</v>
      </c>
      <c r="M21" s="565"/>
      <c r="N21" s="566" t="str">
        <f>"Gerealiseerd circulair doel per ontwerpprincipe in de " &amp; N8</f>
        <v>Gerealiseerd circulair doel per ontwerpprincipe in de verkenningsfase</v>
      </c>
      <c r="O21" s="567"/>
      <c r="P21" s="567"/>
      <c r="Q21" s="567"/>
      <c r="R21" s="567"/>
      <c r="S21" s="567"/>
      <c r="T21" s="567"/>
      <c r="U21" s="567"/>
      <c r="V21" s="568"/>
      <c r="W21" s="569"/>
      <c r="X21" s="570">
        <f>SUM(X41,X38,X36,X34,X31,X27,X25,X23)</f>
        <v>1</v>
      </c>
      <c r="Y21" s="570">
        <f t="shared" ref="Y21:AD21" si="3">SUM(Y41,Y38,Y36,Y34,Y31,Y27,Y25,Y23)</f>
        <v>1.0000000000000002</v>
      </c>
      <c r="Z21" s="570">
        <f t="shared" si="3"/>
        <v>1</v>
      </c>
      <c r="AA21" s="570">
        <f t="shared" si="3"/>
        <v>1</v>
      </c>
      <c r="AB21" s="570">
        <f t="shared" si="3"/>
        <v>1.0000000000000002</v>
      </c>
      <c r="AC21" s="570">
        <f t="shared" si="3"/>
        <v>1</v>
      </c>
      <c r="AD21" s="570">
        <f t="shared" si="3"/>
        <v>1</v>
      </c>
      <c r="AE21" s="571">
        <v>100</v>
      </c>
      <c r="AF21" s="572"/>
      <c r="AG21" s="572"/>
      <c r="AH21" s="572"/>
      <c r="AI21" s="572"/>
      <c r="AJ21" s="572"/>
      <c r="AK21" s="572"/>
      <c r="AL21" s="573" t="str">
        <f>'print B1'!G10</f>
        <v>B1</v>
      </c>
      <c r="AM21" s="567"/>
      <c r="AN21" s="574" t="s">
        <v>44</v>
      </c>
      <c r="AO21" s="645" t="e">
        <f>1-AP21</f>
        <v>#VALUE!</v>
      </c>
      <c r="AP21" s="775" t="str">
        <f>IF(M22=12,SUM(AP23:AP42)+AP44,"-")</f>
        <v>-</v>
      </c>
      <c r="AR21" s="646" t="s">
        <v>318</v>
      </c>
      <c r="BYT21" s="299"/>
      <c r="BYU21" s="299"/>
      <c r="BYV21" s="299"/>
      <c r="BYW21" s="299"/>
      <c r="BYX21" s="299"/>
      <c r="BYY21" s="299"/>
      <c r="BYZ21" s="299"/>
      <c r="BZA21" s="299"/>
      <c r="BZB21" s="299"/>
      <c r="BZC21" s="299"/>
      <c r="BZD21" s="299"/>
      <c r="BZE21" s="299"/>
      <c r="BZF21" s="299"/>
      <c r="BZG21" s="299"/>
      <c r="BZH21" s="299"/>
      <c r="BZI21" s="299"/>
      <c r="BZJ21" s="299"/>
      <c r="BZK21" s="299"/>
      <c r="BZL21" s="299"/>
      <c r="BZM21" s="299"/>
      <c r="BZN21" s="299"/>
      <c r="BZO21" s="299"/>
      <c r="BZP21" s="299"/>
      <c r="BZQ21" s="299"/>
      <c r="BZR21" s="299"/>
      <c r="BZS21" s="299"/>
      <c r="BZT21" s="299"/>
      <c r="BZU21" s="299"/>
      <c r="BZV21" s="299"/>
      <c r="BZW21" s="299"/>
      <c r="BZX21" s="299"/>
      <c r="BZY21" s="299"/>
      <c r="BZZ21" s="280"/>
      <c r="CAA21" s="281"/>
      <c r="CAB21" s="281"/>
      <c r="CAC21" s="282"/>
    </row>
    <row r="22" spans="1:47 2022:2057" ht="49.2" customHeight="1" x14ac:dyDescent="0.55000000000000004">
      <c r="A22" s="12"/>
      <c r="B22" s="14">
        <f>(1/8)*SUM(B24,B26,B28,B29,B30,B32,B33,B35,B37,B39,B40,B42)</f>
        <v>1</v>
      </c>
      <c r="C22" s="14">
        <f t="shared" ref="C22:G22" si="4">(1/8)*SUM(C24,C26,C28,C29,C30,C32,C33,C35,C37,C39,C40,C42)</f>
        <v>1</v>
      </c>
      <c r="D22" s="14">
        <f t="shared" si="4"/>
        <v>1</v>
      </c>
      <c r="E22" s="14">
        <f t="shared" si="4"/>
        <v>1</v>
      </c>
      <c r="F22" s="14">
        <f t="shared" si="4"/>
        <v>1</v>
      </c>
      <c r="G22" s="14">
        <f t="shared" si="4"/>
        <v>1</v>
      </c>
      <c r="H22" s="14"/>
      <c r="I22" s="14"/>
      <c r="J22" s="14"/>
      <c r="K22" s="575"/>
      <c r="L22" s="576" t="s">
        <v>45</v>
      </c>
      <c r="M22" s="748">
        <f>COUNTA(N24,N26,N28,N29,N30,N32,N33,N35,N37,N39,N40,N42)</f>
        <v>0</v>
      </c>
      <c r="N22" s="577"/>
      <c r="O22" s="167"/>
      <c r="P22" s="167"/>
      <c r="Q22" s="167"/>
      <c r="R22" s="167"/>
      <c r="S22" s="167"/>
      <c r="T22" s="167"/>
      <c r="U22" s="167"/>
      <c r="V22" s="578"/>
      <c r="W22" s="579"/>
      <c r="X22" s="580">
        <f>(1/8)*SUM(X24,X26,X28,X29,X30,X32,X33,X35,X37,X39,X40,X42)</f>
        <v>1</v>
      </c>
      <c r="Y22" s="580">
        <f t="shared" ref="Y22:AD22" si="5">(1/8)*SUM(Y24,Y26,Y28,Y29,Y30,Y32,Y33,Y35,Y37,Y39,Y40,Y42)</f>
        <v>1</v>
      </c>
      <c r="Z22" s="580">
        <f t="shared" si="5"/>
        <v>1</v>
      </c>
      <c r="AA22" s="580">
        <f t="shared" si="5"/>
        <v>1</v>
      </c>
      <c r="AB22" s="580">
        <f t="shared" si="5"/>
        <v>1</v>
      </c>
      <c r="AC22" s="580">
        <f t="shared" si="5"/>
        <v>1</v>
      </c>
      <c r="AD22" s="580">
        <f t="shared" si="5"/>
        <v>1</v>
      </c>
      <c r="AE22" s="581">
        <v>0</v>
      </c>
      <c r="AF22" s="582">
        <v>25</v>
      </c>
      <c r="AG22" s="582">
        <v>50</v>
      </c>
      <c r="AH22" s="582">
        <v>75</v>
      </c>
      <c r="AI22" s="582">
        <v>100</v>
      </c>
      <c r="AJ22" s="583"/>
      <c r="AK22" s="583"/>
      <c r="AL22" s="584" t="s">
        <v>46</v>
      </c>
      <c r="AM22" s="167"/>
      <c r="AN22" s="585" t="s">
        <v>47</v>
      </c>
      <c r="AO22" s="167"/>
      <c r="AP22" s="620" t="s">
        <v>48</v>
      </c>
      <c r="BYT22" s="299"/>
      <c r="BYU22" s="299"/>
      <c r="BYV22" s="299"/>
      <c r="BYW22" s="299"/>
      <c r="BYX22" s="299"/>
      <c r="BYY22" s="299"/>
      <c r="BYZ22" s="299"/>
      <c r="BZA22" s="299"/>
      <c r="BZB22" s="299"/>
      <c r="BZC22" s="299"/>
      <c r="BZD22" s="299"/>
      <c r="BZE22" s="299"/>
      <c r="BZF22" s="299"/>
      <c r="BZG22" s="299"/>
      <c r="BZH22" s="299"/>
      <c r="BZI22" s="299"/>
      <c r="BZJ22" s="299"/>
      <c r="BZK22" s="299"/>
      <c r="BZL22" s="299"/>
      <c r="BZM22" s="299"/>
      <c r="BZN22" s="299"/>
      <c r="BZO22" s="299"/>
      <c r="BZP22" s="299"/>
      <c r="BZQ22" s="299"/>
      <c r="BZR22" s="299"/>
      <c r="BZS22" s="299"/>
      <c r="BZT22" s="299"/>
      <c r="BZU22" s="299"/>
      <c r="BZV22" s="299"/>
      <c r="BZW22" s="299"/>
      <c r="BZX22" s="299"/>
      <c r="BZY22" s="299"/>
      <c r="BZZ22" s="280"/>
      <c r="CAA22" s="281"/>
      <c r="CAB22" s="281" t="e">
        <f>BZJ53</f>
        <v>#N/A</v>
      </c>
      <c r="CAC22" s="282"/>
    </row>
    <row r="23" spans="1:47 2022:2057" ht="21" customHeight="1" x14ac:dyDescent="0.4">
      <c r="A23" s="12"/>
      <c r="B23" s="15">
        <v>0.2</v>
      </c>
      <c r="C23" s="15">
        <v>0.15</v>
      </c>
      <c r="D23" s="15">
        <v>0.15</v>
      </c>
      <c r="E23" s="15">
        <v>0.15</v>
      </c>
      <c r="F23" s="15">
        <v>0.05</v>
      </c>
      <c r="G23" s="15">
        <v>0.01</v>
      </c>
      <c r="H23" s="15"/>
      <c r="I23" s="15"/>
      <c r="J23" s="15"/>
      <c r="K23" s="558">
        <v>1</v>
      </c>
      <c r="L23" s="559" t="s">
        <v>49</v>
      </c>
      <c r="M23" s="560"/>
      <c r="N23" s="561"/>
      <c r="O23" s="20"/>
      <c r="P23" s="20"/>
      <c r="Q23" s="20"/>
      <c r="R23" s="20"/>
      <c r="S23" s="20"/>
      <c r="T23" s="20"/>
      <c r="U23" s="20">
        <v>1</v>
      </c>
      <c r="V23" s="128"/>
      <c r="W23" s="7">
        <f t="shared" ref="W23:W42" si="6">X23*$X$20+Y23*$Y$20+Z23*$Z$20+AA23*$AA$20+AB23*$AB$20+AC23*$AC$20+AD23*$AD$20</f>
        <v>0.27</v>
      </c>
      <c r="X23" s="21">
        <f>'info weging'!B8</f>
        <v>0.3</v>
      </c>
      <c r="Y23" s="21">
        <f>'info weging'!C8</f>
        <v>0.27</v>
      </c>
      <c r="Z23" s="21">
        <f>'info weging'!D8</f>
        <v>0.15</v>
      </c>
      <c r="AA23" s="21">
        <f>'info weging'!E8</f>
        <v>0.15</v>
      </c>
      <c r="AB23" s="21">
        <f>'info weging'!F8</f>
        <v>0.05</v>
      </c>
      <c r="AC23" s="21">
        <f>'info weging'!G8</f>
        <v>0.01</v>
      </c>
      <c r="AD23" s="21">
        <f>'info weging'!H8</f>
        <v>0.125</v>
      </c>
      <c r="AE23" s="104"/>
      <c r="AF23" s="58"/>
      <c r="AG23" s="58"/>
      <c r="AH23" s="58"/>
      <c r="AI23" s="58"/>
      <c r="AJ23" s="59"/>
      <c r="AK23" s="59"/>
      <c r="AL23" s="562"/>
      <c r="AM23" s="20"/>
      <c r="AN23" s="201">
        <f>'print Basis'!P18</f>
        <v>0.27</v>
      </c>
      <c r="AO23" s="20"/>
      <c r="AP23" s="621" t="e">
        <f>AN23*(AL24*AN24)</f>
        <v>#VALUE!</v>
      </c>
      <c r="AR23" s="20"/>
      <c r="BYT23" s="299"/>
      <c r="BYU23" s="299"/>
      <c r="BYV23" s="299"/>
      <c r="BYW23" s="299"/>
      <c r="BYX23" s="299" t="s">
        <v>50</v>
      </c>
      <c r="BYY23" s="299" t="e">
        <f>"berekening CP="&amp;N49</f>
        <v>#N/A</v>
      </c>
      <c r="BYZ23" s="299" t="s">
        <v>51</v>
      </c>
      <c r="BZA23" s="299"/>
      <c r="BZB23" s="299" t="s">
        <v>31</v>
      </c>
      <c r="BZC23" s="299" t="s">
        <v>52</v>
      </c>
      <c r="BZD23" s="299" t="s">
        <v>53</v>
      </c>
      <c r="BZE23" s="299"/>
      <c r="BZF23" s="299" t="s">
        <v>32</v>
      </c>
      <c r="BZG23" s="299" t="s">
        <v>52</v>
      </c>
      <c r="BZH23" s="299" t="s">
        <v>54</v>
      </c>
      <c r="BZI23" s="299"/>
      <c r="BZJ23" s="299" t="s">
        <v>33</v>
      </c>
      <c r="BZK23" s="299" t="s">
        <v>52</v>
      </c>
      <c r="BZL23" s="299" t="s">
        <v>55</v>
      </c>
      <c r="BZM23" s="299"/>
      <c r="BZN23" s="299" t="s">
        <v>34</v>
      </c>
      <c r="BZO23" s="299" t="s">
        <v>52</v>
      </c>
      <c r="BZP23" s="299" t="s">
        <v>56</v>
      </c>
      <c r="BZQ23" s="299"/>
      <c r="BZR23" s="299" t="s">
        <v>35</v>
      </c>
      <c r="BZS23" s="299" t="s">
        <v>52</v>
      </c>
      <c r="BZT23" s="299" t="s">
        <v>57</v>
      </c>
      <c r="BZU23" s="299"/>
      <c r="BZV23" s="299" t="str">
        <f>AK16</f>
        <v>eigen waarde</v>
      </c>
      <c r="BZW23" s="299" t="s">
        <v>52</v>
      </c>
      <c r="BZX23" s="299" t="s">
        <v>58</v>
      </c>
      <c r="BZY23" s="299"/>
      <c r="BZZ23" s="280"/>
      <c r="CAA23" s="281"/>
      <c r="CAB23" s="281" t="str">
        <f>N7</f>
        <v>B1</v>
      </c>
      <c r="CAC23" s="282" t="s">
        <v>59</v>
      </c>
    </row>
    <row r="24" spans="1:47 2022:2057" ht="88.2" customHeight="1" x14ac:dyDescent="0.4">
      <c r="A24" s="12"/>
      <c r="B24" s="16">
        <v>1</v>
      </c>
      <c r="C24" s="16">
        <v>1</v>
      </c>
      <c r="D24" s="16">
        <v>1</v>
      </c>
      <c r="E24" s="16">
        <v>1</v>
      </c>
      <c r="F24" s="16">
        <v>1</v>
      </c>
      <c r="G24" s="16">
        <v>1</v>
      </c>
      <c r="H24" s="16"/>
      <c r="I24" s="16"/>
      <c r="J24" s="16"/>
      <c r="K24" s="452" t="s">
        <v>60</v>
      </c>
      <c r="L24" s="549" t="s">
        <v>61</v>
      </c>
      <c r="M24" s="551" t="str">
        <f>IF(N24="","         klik hier op linkermuisknop + selecteer via het pull down menu het gerealiseerd circulaire doel","")</f>
        <v xml:space="preserve">         klik hier op linkermuisknop + selecteer via het pull down menu het gerealiseerd circulaire doel</v>
      </c>
      <c r="N24" s="210"/>
      <c r="O24" s="20"/>
      <c r="P24" s="20"/>
      <c r="Q24" s="20"/>
      <c r="R24" s="20"/>
      <c r="S24" s="20"/>
      <c r="T24" s="20"/>
      <c r="U24" s="20"/>
      <c r="V24" s="128"/>
      <c r="W24" s="7">
        <f t="shared" si="6"/>
        <v>1</v>
      </c>
      <c r="X24" s="24">
        <f>'info weging'!B9</f>
        <v>1</v>
      </c>
      <c r="Y24" s="24">
        <f>'info weging'!C9</f>
        <v>1</v>
      </c>
      <c r="Z24" s="24">
        <f>'info weging'!D9</f>
        <v>1</v>
      </c>
      <c r="AA24" s="24">
        <f>'info weging'!E9</f>
        <v>1</v>
      </c>
      <c r="AB24" s="24">
        <f>'info weging'!F9</f>
        <v>1</v>
      </c>
      <c r="AC24" s="25">
        <f>'info weging'!G9</f>
        <v>1</v>
      </c>
      <c r="AD24" s="25">
        <f>'info weging'!H9</f>
        <v>1</v>
      </c>
      <c r="AE24" s="97" t="e">
        <f>VLOOKUP(N24,'info weging'!$A$36:$H$163,2,FALSE)</f>
        <v>#N/A</v>
      </c>
      <c r="AF24" s="8" t="e">
        <f>VLOOKUP(N24,'info weging'!$A$36:$H$163,3,FALSE)</f>
        <v>#N/A</v>
      </c>
      <c r="AG24" s="8" t="e">
        <f>VLOOKUP(N24,'info weging'!$A$36:$H$163,4,FALSE)</f>
        <v>#N/A</v>
      </c>
      <c r="AH24" s="8" t="e">
        <f>VLOOKUP(N24,'info weging'!$A$36:$H$163,5,FALSE)</f>
        <v>#N/A</v>
      </c>
      <c r="AI24" s="8" t="e">
        <f>VLOOKUP(N24,'info weging'!$A$36:$H$163,6,FALSE)</f>
        <v>#N/A</v>
      </c>
      <c r="AJ24" s="9" t="e">
        <f>VLOOKUP(N24,'info weging'!$A$36:$H$163,7,FALSE)</f>
        <v>#N/A</v>
      </c>
      <c r="AK24" s="9" t="e">
        <f>VLOOKUP(N24,'info weging'!$A$36:$H$163,8,FALSE)</f>
        <v>#N/A</v>
      </c>
      <c r="AL24" s="260" t="str">
        <f>IF(COUNTA(N24)=1,AE24*$AE$15+AF24*$AF$15+AG24*$AG$15+AH24*$AH$15+AI24*$AI$15+AJ24*$AJ$15+AK24*$AK$15,"----")</f>
        <v>----</v>
      </c>
      <c r="AM24" s="128"/>
      <c r="AN24" s="127">
        <f>'print Basis'!P19</f>
        <v>1</v>
      </c>
      <c r="AO24" s="128"/>
      <c r="AP24" s="622"/>
      <c r="AQ24" s="5"/>
      <c r="AR24" s="778"/>
      <c r="AS24" s="20"/>
      <c r="AT24" s="20"/>
      <c r="AU24" s="20"/>
      <c r="BYT24" s="299"/>
      <c r="BYU24" s="299"/>
      <c r="BYV24" s="665" t="s">
        <v>63</v>
      </c>
      <c r="BYW24" s="661" t="s">
        <v>60</v>
      </c>
      <c r="BYX24" s="661" t="s">
        <v>64</v>
      </c>
      <c r="BYY24" s="666" t="e">
        <f>AE24*X23*X24</f>
        <v>#N/A</v>
      </c>
      <c r="BYZ24" s="666">
        <f>100*X24*X23</f>
        <v>30</v>
      </c>
      <c r="BZA24" s="660"/>
      <c r="BZB24" s="661" t="s">
        <v>64</v>
      </c>
      <c r="BZC24" s="666" t="e">
        <f>AF24*Y23*Y24</f>
        <v>#N/A</v>
      </c>
      <c r="BZD24" s="666">
        <f>100*Y24*Y23</f>
        <v>27</v>
      </c>
      <c r="BZE24" s="660"/>
      <c r="BZF24" s="661" t="s">
        <v>64</v>
      </c>
      <c r="BZG24" s="666" t="e">
        <f>AG24*Z23*Z24</f>
        <v>#N/A</v>
      </c>
      <c r="BZH24" s="666">
        <f>100*Z24*Z23</f>
        <v>15</v>
      </c>
      <c r="BZI24" s="660"/>
      <c r="BZJ24" s="661" t="s">
        <v>64</v>
      </c>
      <c r="BZK24" s="666" t="e">
        <f>AH24*AA23*AA24</f>
        <v>#N/A</v>
      </c>
      <c r="BZL24" s="666">
        <f>100*AA24*AA23</f>
        <v>15</v>
      </c>
      <c r="BZM24" s="660"/>
      <c r="BZN24" s="661" t="s">
        <v>64</v>
      </c>
      <c r="BZO24" s="666" t="e">
        <f>AI24*AB23*AB24</f>
        <v>#N/A</v>
      </c>
      <c r="BZP24" s="666">
        <f>100*G24*G23</f>
        <v>1</v>
      </c>
      <c r="BZQ24" s="660"/>
      <c r="BZR24" s="661" t="s">
        <v>64</v>
      </c>
      <c r="BZS24" s="661" t="e">
        <f>AJ24*AC23*AC24</f>
        <v>#N/A</v>
      </c>
      <c r="BZT24" s="661">
        <f>100*AC24*AC23</f>
        <v>1</v>
      </c>
      <c r="BZU24" s="299"/>
      <c r="BZV24" s="661" t="s">
        <v>64</v>
      </c>
      <c r="BZW24" s="661" t="e">
        <f>AK24*AD24*AD23</f>
        <v>#N/A</v>
      </c>
      <c r="BZX24" s="661">
        <f>100*AD24*AD23</f>
        <v>12.5</v>
      </c>
      <c r="BZY24" s="299"/>
      <c r="BZZ24" s="280"/>
      <c r="CAA24" s="281" t="str">
        <f>BZV24</f>
        <v>verklein opgave</v>
      </c>
      <c r="CAB24" s="283" t="e">
        <f t="shared" ref="CAB24:CAC35" si="7">BYY24*$BYY$15+BZC24*$BZC$15+BZG24*$BZG$15+BZK24*$BZK$15+BZO24*$BZO$15+BZS24*$BZS$15+BZW24*$BZW$15</f>
        <v>#N/A</v>
      </c>
      <c r="CAC24" s="284">
        <f t="shared" si="7"/>
        <v>27</v>
      </c>
    </row>
    <row r="25" spans="1:47 2022:2057" ht="21" customHeight="1" x14ac:dyDescent="0.4">
      <c r="A25" s="12"/>
      <c r="B25" s="15">
        <v>0.17</v>
      </c>
      <c r="C25" s="15">
        <v>0.15</v>
      </c>
      <c r="D25" s="15">
        <v>0.15</v>
      </c>
      <c r="E25" s="15">
        <v>0.12</v>
      </c>
      <c r="F25" s="15">
        <v>0.125</v>
      </c>
      <c r="G25" s="15">
        <v>0.2</v>
      </c>
      <c r="H25" s="15"/>
      <c r="I25" s="15"/>
      <c r="J25" s="15"/>
      <c r="K25" s="89">
        <v>2</v>
      </c>
      <c r="L25" s="95" t="s">
        <v>65</v>
      </c>
      <c r="M25" s="91"/>
      <c r="N25" s="238"/>
      <c r="O25" s="20"/>
      <c r="P25" s="20"/>
      <c r="Q25" s="20"/>
      <c r="R25" s="20"/>
      <c r="S25" s="20"/>
      <c r="T25" s="20"/>
      <c r="U25" s="20">
        <v>2</v>
      </c>
      <c r="V25" s="128"/>
      <c r="W25" s="7">
        <f t="shared" si="6"/>
        <v>7.0000000000000007E-2</v>
      </c>
      <c r="X25" s="22">
        <f>'info weging'!B10</f>
        <v>0.25</v>
      </c>
      <c r="Y25" s="22">
        <f>'info weging'!C10</f>
        <v>7.0000000000000007E-2</v>
      </c>
      <c r="Z25" s="22">
        <f>'info weging'!D10</f>
        <v>7.0000000000000007E-2</v>
      </c>
      <c r="AA25" s="22">
        <f>'info weging'!E10</f>
        <v>0.05</v>
      </c>
      <c r="AB25" s="22">
        <f>'info weging'!F10</f>
        <v>0.05</v>
      </c>
      <c r="AC25" s="23">
        <f>'info weging'!G10</f>
        <v>0.25</v>
      </c>
      <c r="AD25" s="23">
        <f>'info weging'!H10</f>
        <v>0.125</v>
      </c>
      <c r="AE25" s="90"/>
      <c r="AF25" s="60"/>
      <c r="AG25" s="60"/>
      <c r="AH25" s="60"/>
      <c r="AI25" s="60"/>
      <c r="AJ25" s="61"/>
      <c r="AK25" s="61"/>
      <c r="AL25" s="117"/>
      <c r="AM25" s="128"/>
      <c r="AN25" s="201">
        <f>'print Basis'!P20</f>
        <v>7.0000000000000007E-2</v>
      </c>
      <c r="AO25" s="128"/>
      <c r="AP25" s="621" t="e">
        <f>AN25*(AL26*AN26)</f>
        <v>#VALUE!</v>
      </c>
      <c r="AQ25" s="5"/>
      <c r="AR25" s="779"/>
      <c r="AS25" s="20"/>
      <c r="AT25" s="20"/>
      <c r="AU25" s="20"/>
      <c r="BYT25" s="299"/>
      <c r="BYU25" s="299"/>
      <c r="BYV25" s="665" t="s">
        <v>66</v>
      </c>
      <c r="BYW25" s="661" t="s">
        <v>60</v>
      </c>
      <c r="BYX25" s="661" t="s">
        <v>67</v>
      </c>
      <c r="BYY25" s="666" t="e">
        <f>AE26*X26*X25</f>
        <v>#N/A</v>
      </c>
      <c r="BYZ25" s="666">
        <f>100*X26*X25</f>
        <v>25</v>
      </c>
      <c r="BZA25" s="660"/>
      <c r="BZB25" s="661" t="s">
        <v>67</v>
      </c>
      <c r="BZC25" s="666" t="e">
        <f>AF26*Y26*Y25</f>
        <v>#N/A</v>
      </c>
      <c r="BZD25" s="666">
        <f>100*Y26*Y25</f>
        <v>7.0000000000000009</v>
      </c>
      <c r="BZE25" s="660"/>
      <c r="BZF25" s="661" t="s">
        <v>67</v>
      </c>
      <c r="BZG25" s="666" t="e">
        <f>AG26*Z26*Z25</f>
        <v>#N/A</v>
      </c>
      <c r="BZH25" s="666">
        <f>100*Z26*Z25</f>
        <v>7.0000000000000009</v>
      </c>
      <c r="BZI25" s="660"/>
      <c r="BZJ25" s="661" t="s">
        <v>67</v>
      </c>
      <c r="BZK25" s="666" t="e">
        <f>AH26*AA26*AA25</f>
        <v>#N/A</v>
      </c>
      <c r="BZL25" s="666">
        <f>100*AA26*AA25</f>
        <v>5</v>
      </c>
      <c r="BZM25" s="660"/>
      <c r="BZN25" s="661" t="s">
        <v>67</v>
      </c>
      <c r="BZO25" s="666" t="e">
        <f>AI26*AB26*AB25</f>
        <v>#N/A</v>
      </c>
      <c r="BZP25" s="666">
        <f>100*G26*G25</f>
        <v>20</v>
      </c>
      <c r="BZQ25" s="660"/>
      <c r="BZR25" s="661" t="s">
        <v>67</v>
      </c>
      <c r="BZS25" s="661" t="e">
        <f>AJ26*AC26*AC25</f>
        <v>#N/A</v>
      </c>
      <c r="BZT25" s="661">
        <f>100*AC26*AC25</f>
        <v>25</v>
      </c>
      <c r="BZU25" s="299"/>
      <c r="BZV25" s="661" t="s">
        <v>67</v>
      </c>
      <c r="BZW25" s="661" t="e">
        <f>AK26*AD26*AD25</f>
        <v>#N/A</v>
      </c>
      <c r="BZX25" s="661">
        <f>100*AD26*AD25</f>
        <v>12.5</v>
      </c>
      <c r="BZY25" s="299"/>
      <c r="BZZ25" s="280"/>
      <c r="CAA25" s="281" t="str">
        <f t="shared" ref="CAA25:CAA35" si="8">BZV25</f>
        <v>levensduurverlenging</v>
      </c>
      <c r="CAB25" s="283" t="e">
        <f t="shared" si="7"/>
        <v>#N/A</v>
      </c>
      <c r="CAC25" s="284">
        <f t="shared" si="7"/>
        <v>7.0000000000000009</v>
      </c>
    </row>
    <row r="26" spans="1:47 2022:2057" ht="47.4" customHeight="1" x14ac:dyDescent="0.4">
      <c r="A26" s="12"/>
      <c r="B26" s="16">
        <v>1</v>
      </c>
      <c r="C26" s="16">
        <v>1</v>
      </c>
      <c r="D26" s="16">
        <v>1</v>
      </c>
      <c r="E26" s="16">
        <v>1</v>
      </c>
      <c r="F26" s="16">
        <v>1</v>
      </c>
      <c r="G26" s="16">
        <v>1</v>
      </c>
      <c r="H26" s="16"/>
      <c r="I26" s="16"/>
      <c r="J26" s="16"/>
      <c r="K26" s="452" t="s">
        <v>60</v>
      </c>
      <c r="L26" s="549" t="s">
        <v>68</v>
      </c>
      <c r="M26" s="551" t="str">
        <f>IF(N26="","         klik hier op linkermuisknop + selecteer via het pull down menu het gerealiseerd circulaire doel","")</f>
        <v xml:space="preserve">         klik hier op linkermuisknop + selecteer via het pull down menu het gerealiseerd circulaire doel</v>
      </c>
      <c r="N26" s="210"/>
      <c r="O26" s="20"/>
      <c r="P26" s="20"/>
      <c r="Q26" s="20"/>
      <c r="R26" s="20"/>
      <c r="S26" s="20"/>
      <c r="T26" s="20"/>
      <c r="U26" s="20"/>
      <c r="V26" s="128"/>
      <c r="W26" s="7">
        <f t="shared" si="6"/>
        <v>1</v>
      </c>
      <c r="X26" s="26">
        <f>'info weging'!B11</f>
        <v>1</v>
      </c>
      <c r="Y26" s="26">
        <f>'info weging'!C11</f>
        <v>1</v>
      </c>
      <c r="Z26" s="26">
        <f>'info weging'!D11</f>
        <v>1</v>
      </c>
      <c r="AA26" s="26">
        <f>'info weging'!E11</f>
        <v>1</v>
      </c>
      <c r="AB26" s="26">
        <f>'info weging'!F11</f>
        <v>1</v>
      </c>
      <c r="AC26" s="27">
        <f>'info weging'!G11</f>
        <v>1</v>
      </c>
      <c r="AD26" s="27">
        <f>'info weging'!H11</f>
        <v>1</v>
      </c>
      <c r="AE26" s="96" t="e">
        <f>VLOOKUP(N26,'info weging'!$A$36:$H$163,2,FALSE)</f>
        <v>#N/A</v>
      </c>
      <c r="AF26" s="8" t="e">
        <f>VLOOKUP(N26,'info weging'!$A$36:$H$163,3,FALSE)</f>
        <v>#N/A</v>
      </c>
      <c r="AG26" s="8" t="e">
        <f>VLOOKUP(N26,'info weging'!$A$36:$H$163,4,FALSE)</f>
        <v>#N/A</v>
      </c>
      <c r="AH26" s="8" t="e">
        <f>VLOOKUP(N26,'info weging'!$A$36:$H$163,5,FALSE)</f>
        <v>#N/A</v>
      </c>
      <c r="AI26" s="8" t="e">
        <f>VLOOKUP(N26,'info weging'!$A$36:$H$163,6,FALSE)</f>
        <v>#N/A</v>
      </c>
      <c r="AJ26" s="9" t="e">
        <f>VLOOKUP(N26,'info weging'!$A$36:$H$163,7,FALSE)</f>
        <v>#N/A</v>
      </c>
      <c r="AK26" s="9" t="e">
        <f>VLOOKUP(N26,'info weging'!$A$36:$H$163,8,FALSE)</f>
        <v>#N/A</v>
      </c>
      <c r="AL26" s="260" t="str">
        <f>IF(COUNTA(N26)=1,AE26*$AE$15+AF26*$AF$15+AG26*$AG$15+AH26*$AH$15+AI26*$AI$15+AJ26*$AJ$15+AK26*$AK$15,"----")</f>
        <v>----</v>
      </c>
      <c r="AM26" s="128"/>
      <c r="AN26" s="127">
        <f>'print Basis'!P21</f>
        <v>1</v>
      </c>
      <c r="AO26" s="128"/>
      <c r="AP26" s="622"/>
      <c r="AQ26" s="5"/>
      <c r="AR26" s="778"/>
      <c r="AS26" s="20"/>
      <c r="AT26" s="20"/>
      <c r="AU26" s="20"/>
      <c r="BYT26" s="299"/>
      <c r="BYU26" s="299"/>
      <c r="BYV26" s="665" t="s">
        <v>70</v>
      </c>
      <c r="BYW26" s="661" t="s">
        <v>60</v>
      </c>
      <c r="BYX26" s="661" t="s">
        <v>71</v>
      </c>
      <c r="BYY26" s="666" t="e">
        <f>AE28*X28*X27</f>
        <v>#N/A</v>
      </c>
      <c r="BYZ26" s="666">
        <f>100*X28*X27</f>
        <v>7.8000000000000007</v>
      </c>
      <c r="BZA26" s="660"/>
      <c r="BZB26" s="661" t="s">
        <v>71</v>
      </c>
      <c r="BZC26" s="666" t="e">
        <f>AF28*Y28*Y27</f>
        <v>#N/A</v>
      </c>
      <c r="BZD26" s="666">
        <f>100*Y28*Y27</f>
        <v>2.8000000000000003</v>
      </c>
      <c r="BZE26" s="660"/>
      <c r="BZF26" s="661" t="s">
        <v>71</v>
      </c>
      <c r="BZG26" s="666" t="e">
        <f>AG28*Z28*Z27</f>
        <v>#N/A</v>
      </c>
      <c r="BZH26" s="666">
        <f>100*Z28*Z27</f>
        <v>6</v>
      </c>
      <c r="BZI26" s="660"/>
      <c r="BZJ26" s="661" t="s">
        <v>71</v>
      </c>
      <c r="BZK26" s="666" t="e">
        <f>AH28*AA28*AA27</f>
        <v>#N/A</v>
      </c>
      <c r="BZL26" s="666">
        <f>100*AA28*AA27</f>
        <v>6</v>
      </c>
      <c r="BZM26" s="660"/>
      <c r="BZN26" s="661" t="s">
        <v>71</v>
      </c>
      <c r="BZO26" s="666" t="e">
        <f>AI28*AB28*AB27</f>
        <v>#N/A</v>
      </c>
      <c r="BZP26" s="666">
        <f>100*G28*G27</f>
        <v>4</v>
      </c>
      <c r="BZQ26" s="660"/>
      <c r="BZR26" s="661" t="s">
        <v>71</v>
      </c>
      <c r="BZS26" s="661" t="e">
        <f>AJ28*AC28*AC27</f>
        <v>#N/A</v>
      </c>
      <c r="BZT26" s="661">
        <f>100*AC28*AC27</f>
        <v>4</v>
      </c>
      <c r="BZU26" s="299"/>
      <c r="BZV26" s="661" t="s">
        <v>71</v>
      </c>
      <c r="BZW26" s="661" t="e">
        <f>AK28*AD28*AD27</f>
        <v>#N/A</v>
      </c>
      <c r="BZX26" s="661">
        <f>100*AD28*AD27</f>
        <v>5</v>
      </c>
      <c r="BZY26" s="299"/>
      <c r="BZZ26" s="280"/>
      <c r="CAA26" s="281" t="str">
        <f t="shared" si="8"/>
        <v>hergebruik</v>
      </c>
      <c r="CAB26" s="283" t="e">
        <f t="shared" si="7"/>
        <v>#N/A</v>
      </c>
      <c r="CAC26" s="284">
        <f t="shared" si="7"/>
        <v>2.8000000000000003</v>
      </c>
    </row>
    <row r="27" spans="1:47 2022:2057" ht="21" customHeight="1" x14ac:dyDescent="0.4">
      <c r="A27" s="12"/>
      <c r="B27" s="15">
        <v>0.17</v>
      </c>
      <c r="C27" s="15">
        <v>0.15</v>
      </c>
      <c r="D27" s="15">
        <v>0.15</v>
      </c>
      <c r="E27" s="15">
        <v>0.2</v>
      </c>
      <c r="F27" s="15">
        <v>0.25</v>
      </c>
      <c r="G27" s="15">
        <v>0.2</v>
      </c>
      <c r="H27" s="15"/>
      <c r="I27" s="15"/>
      <c r="J27" s="15"/>
      <c r="K27" s="84">
        <v>3</v>
      </c>
      <c r="L27" s="56" t="s">
        <v>72</v>
      </c>
      <c r="M27" s="57"/>
      <c r="N27" s="239"/>
      <c r="O27" s="20"/>
      <c r="P27" s="20"/>
      <c r="Q27" s="20"/>
      <c r="R27" s="20"/>
      <c r="S27" s="20"/>
      <c r="T27" s="20"/>
      <c r="U27" s="20">
        <v>3</v>
      </c>
      <c r="V27" s="128"/>
      <c r="W27" s="7">
        <f t="shared" si="6"/>
        <v>7.0000000000000007E-2</v>
      </c>
      <c r="X27" s="22">
        <f>'info weging'!B12</f>
        <v>0.13</v>
      </c>
      <c r="Y27" s="22">
        <f>'info weging'!C12</f>
        <v>7.0000000000000007E-2</v>
      </c>
      <c r="Z27" s="22">
        <f>'info weging'!D12</f>
        <v>0.15</v>
      </c>
      <c r="AA27" s="22">
        <f>'info weging'!E12</f>
        <v>0.2</v>
      </c>
      <c r="AB27" s="22">
        <f>'info weging'!F12</f>
        <v>0.25</v>
      </c>
      <c r="AC27" s="23">
        <f>'info weging'!G12</f>
        <v>0.2</v>
      </c>
      <c r="AD27" s="23">
        <f>'info weging'!H12</f>
        <v>0.125</v>
      </c>
      <c r="AE27" s="74"/>
      <c r="AF27" s="72"/>
      <c r="AG27" s="72"/>
      <c r="AH27" s="72"/>
      <c r="AI27" s="72"/>
      <c r="AJ27" s="73"/>
      <c r="AK27" s="73"/>
      <c r="AL27" s="118"/>
      <c r="AM27" s="128"/>
      <c r="AN27" s="201">
        <f>'print Basis'!P22</f>
        <v>7.0000000000000007E-2</v>
      </c>
      <c r="AO27" s="128"/>
      <c r="AP27" s="621" t="e">
        <f>AN27*(AL28*AN28+AL29*AN29+AL30*AN30)</f>
        <v>#VALUE!</v>
      </c>
      <c r="AQ27" s="5"/>
      <c r="AR27" s="779"/>
      <c r="AS27" s="20"/>
      <c r="AT27" s="20"/>
      <c r="AU27" s="20"/>
      <c r="BYT27" s="299"/>
      <c r="BYU27" s="299"/>
      <c r="BYV27" s="665"/>
      <c r="BYW27" s="661" t="s">
        <v>73</v>
      </c>
      <c r="BYX27" s="661" t="s">
        <v>74</v>
      </c>
      <c r="BYY27" s="666" t="e">
        <f>AE29*X29*X27</f>
        <v>#N/A</v>
      </c>
      <c r="BYZ27" s="666">
        <f>100*X29*X27</f>
        <v>1.3</v>
      </c>
      <c r="BZA27" s="660"/>
      <c r="BZB27" s="661" t="s">
        <v>74</v>
      </c>
      <c r="BZC27" s="666" t="e">
        <f>AF29*Y29*Y27</f>
        <v>#N/A</v>
      </c>
      <c r="BZD27" s="666">
        <f>Y29*Y27*100</f>
        <v>2.8000000000000003</v>
      </c>
      <c r="BZE27" s="660"/>
      <c r="BZF27" s="661" t="s">
        <v>74</v>
      </c>
      <c r="BZG27" s="666" t="e">
        <f>AG29*Z29*Z27</f>
        <v>#N/A</v>
      </c>
      <c r="BZH27" s="666">
        <f>Z29*Z27*100</f>
        <v>6</v>
      </c>
      <c r="BZI27" s="660"/>
      <c r="BZJ27" s="661" t="s">
        <v>74</v>
      </c>
      <c r="BZK27" s="666" t="e">
        <f>AH29*AA29*AA27</f>
        <v>#N/A</v>
      </c>
      <c r="BZL27" s="666">
        <f>100*AA29*AA27</f>
        <v>12</v>
      </c>
      <c r="BZM27" s="660"/>
      <c r="BZN27" s="661" t="s">
        <v>74</v>
      </c>
      <c r="BZO27" s="666" t="e">
        <f>AI29*AB29*AB27</f>
        <v>#N/A</v>
      </c>
      <c r="BZP27" s="666">
        <f>G29*G27*100</f>
        <v>13.999999999999998</v>
      </c>
      <c r="BZQ27" s="660"/>
      <c r="BZR27" s="661" t="s">
        <v>74</v>
      </c>
      <c r="BZS27" s="661" t="e">
        <f>AJ29*AC29*AC27</f>
        <v>#N/A</v>
      </c>
      <c r="BZT27" s="661">
        <f>AC29*AC27*100</f>
        <v>13.999999999999998</v>
      </c>
      <c r="BZU27" s="299"/>
      <c r="BZV27" s="661" t="s">
        <v>74</v>
      </c>
      <c r="BZW27" s="661" t="e">
        <f>AK29*AD29*AD27</f>
        <v>#N/A</v>
      </c>
      <c r="BZX27" s="661">
        <f>100*AD29*AD27</f>
        <v>5</v>
      </c>
      <c r="BZY27" s="299"/>
      <c r="BZZ27" s="280"/>
      <c r="CAA27" s="281" t="str">
        <f t="shared" si="8"/>
        <v>materialendatabank</v>
      </c>
      <c r="CAB27" s="283" t="e">
        <f t="shared" si="7"/>
        <v>#N/A</v>
      </c>
      <c r="CAC27" s="284">
        <f t="shared" si="7"/>
        <v>2.8000000000000003</v>
      </c>
    </row>
    <row r="28" spans="1:47 2022:2057" ht="59.4" customHeight="1" x14ac:dyDescent="0.4">
      <c r="A28" s="12"/>
      <c r="B28" s="16">
        <v>0.4</v>
      </c>
      <c r="C28" s="16">
        <v>0.4</v>
      </c>
      <c r="D28" s="16">
        <v>0.4</v>
      </c>
      <c r="E28" s="16">
        <v>0.3</v>
      </c>
      <c r="F28" s="16">
        <v>0.2</v>
      </c>
      <c r="G28" s="16">
        <v>0.2</v>
      </c>
      <c r="H28" s="16"/>
      <c r="I28" s="16"/>
      <c r="J28" s="16"/>
      <c r="K28" s="452" t="s">
        <v>60</v>
      </c>
      <c r="L28" s="549" t="s">
        <v>75</v>
      </c>
      <c r="M28" s="551" t="str">
        <f>IF(N28="","         klik hier op linkermuisknop + selecteer via het pull down menu het gerealiseerd circulaire doel","")</f>
        <v xml:space="preserve">         klik hier op linkermuisknop + selecteer via het pull down menu het gerealiseerd circulaire doel</v>
      </c>
      <c r="N28" s="210"/>
      <c r="O28" s="20"/>
      <c r="P28" s="20"/>
      <c r="Q28" s="20"/>
      <c r="R28" s="20"/>
      <c r="S28" s="20"/>
      <c r="T28" s="20"/>
      <c r="U28" s="20"/>
      <c r="V28" s="128"/>
      <c r="W28" s="7">
        <f t="shared" si="6"/>
        <v>0.4</v>
      </c>
      <c r="X28" s="26">
        <f>'info weging'!B13</f>
        <v>0.6</v>
      </c>
      <c r="Y28" s="26">
        <f>'info weging'!C13</f>
        <v>0.4</v>
      </c>
      <c r="Z28" s="26">
        <f>'info weging'!D13</f>
        <v>0.4</v>
      </c>
      <c r="AA28" s="26">
        <f>'info weging'!E13</f>
        <v>0.3</v>
      </c>
      <c r="AB28" s="26">
        <f>'info weging'!F13</f>
        <v>0.2</v>
      </c>
      <c r="AC28" s="27">
        <f>'info weging'!G13</f>
        <v>0.2</v>
      </c>
      <c r="AD28" s="27">
        <f>'info weging'!H13</f>
        <v>0.4</v>
      </c>
      <c r="AE28" s="92" t="e">
        <f>VLOOKUP(N28,'info weging'!$A$36:$H$163,2,FALSE)</f>
        <v>#N/A</v>
      </c>
      <c r="AF28" s="8" t="e">
        <f>VLOOKUP(N28,'info weging'!$A$36:$H$163,3,FALSE)</f>
        <v>#N/A</v>
      </c>
      <c r="AG28" s="8" t="e">
        <f>VLOOKUP(N28,'info weging'!$A$36:$H$163,4,FALSE)</f>
        <v>#N/A</v>
      </c>
      <c r="AH28" s="8" t="e">
        <f>VLOOKUP(N28,'info weging'!$A$36:$H$163,5,FALSE)</f>
        <v>#N/A</v>
      </c>
      <c r="AI28" s="8" t="e">
        <f>VLOOKUP(N28,'info weging'!$A$36:$H$163,6,FALSE)</f>
        <v>#N/A</v>
      </c>
      <c r="AJ28" s="9" t="e">
        <f>VLOOKUP(N28,'info weging'!$A$36:$H$163,7,FALSE)</f>
        <v>#N/A</v>
      </c>
      <c r="AK28" s="9" t="e">
        <f>VLOOKUP(N28,'info weging'!$A$36:$H$163,8,FALSE)</f>
        <v>#N/A</v>
      </c>
      <c r="AL28" s="260" t="str">
        <f>IF(COUNTA(N28)=1,AE28*$AE$15+AF28*$AF$15+AG28*$AG$15+AH28*$AH$15+AI28*$AI$15+AJ28*$AJ$15+AK28*$AK$15,"----")</f>
        <v>----</v>
      </c>
      <c r="AM28" s="128"/>
      <c r="AN28" s="127">
        <f>'print Basis'!P23</f>
        <v>0.4</v>
      </c>
      <c r="AO28" s="202"/>
      <c r="AP28" s="622"/>
      <c r="AQ28" s="5"/>
      <c r="AR28" s="778"/>
      <c r="AS28" s="20"/>
      <c r="AT28" s="20"/>
      <c r="AU28" s="20"/>
      <c r="BYT28" s="299"/>
      <c r="BYU28" s="299"/>
      <c r="BYV28" s="665"/>
      <c r="BYW28" s="661" t="s">
        <v>77</v>
      </c>
      <c r="BYX28" s="661" t="s">
        <v>78</v>
      </c>
      <c r="BYY28" s="666" t="e">
        <f>AE30*X30*X27</f>
        <v>#N/A</v>
      </c>
      <c r="BYZ28" s="666">
        <f>X30*X27*100</f>
        <v>3.9</v>
      </c>
      <c r="BZA28" s="660"/>
      <c r="BZB28" s="661" t="s">
        <v>78</v>
      </c>
      <c r="BZC28" s="666" t="e">
        <f>AF30*Y30*Y27</f>
        <v>#N/A</v>
      </c>
      <c r="BZD28" s="666">
        <f>100*Y30*Y27</f>
        <v>1.4000000000000001</v>
      </c>
      <c r="BZE28" s="660"/>
      <c r="BZF28" s="661" t="s">
        <v>78</v>
      </c>
      <c r="BZG28" s="666" t="e">
        <f>AG30*Z30*Z27</f>
        <v>#N/A</v>
      </c>
      <c r="BZH28" s="666">
        <f>100*Z30*Z27</f>
        <v>3</v>
      </c>
      <c r="BZI28" s="660"/>
      <c r="BZJ28" s="661" t="s">
        <v>78</v>
      </c>
      <c r="BZK28" s="666" t="e">
        <f>AH30*AA30*AA27</f>
        <v>#N/A</v>
      </c>
      <c r="BZL28" s="666">
        <f>100*AA30*AA27</f>
        <v>2</v>
      </c>
      <c r="BZM28" s="660"/>
      <c r="BZN28" s="661" t="s">
        <v>78</v>
      </c>
      <c r="BZO28" s="666" t="e">
        <f>AI30*AB30*AB27</f>
        <v>#N/A</v>
      </c>
      <c r="BZP28" s="666">
        <f>100*G30*G27</f>
        <v>2</v>
      </c>
      <c r="BZQ28" s="660"/>
      <c r="BZR28" s="661" t="s">
        <v>78</v>
      </c>
      <c r="BZS28" s="661" t="e">
        <f>AJ30*AC30*AC27</f>
        <v>#N/A</v>
      </c>
      <c r="BZT28" s="661">
        <f>100*AC27*AC30</f>
        <v>2</v>
      </c>
      <c r="BZU28" s="299"/>
      <c r="BZV28" s="661" t="s">
        <v>78</v>
      </c>
      <c r="BZW28" s="661" t="e">
        <f>AK30*AD30*AD27</f>
        <v>#N/A</v>
      </c>
      <c r="BZX28" s="661">
        <f>100*AD30*AD27</f>
        <v>2.5</v>
      </c>
      <c r="BZY28" s="299"/>
      <c r="BZZ28" s="280"/>
      <c r="CAA28" s="281" t="str">
        <f t="shared" si="8"/>
        <v>natuurlijk proces</v>
      </c>
      <c r="CAB28" s="283" t="e">
        <f t="shared" si="7"/>
        <v>#N/A</v>
      </c>
      <c r="CAC28" s="284">
        <f t="shared" si="7"/>
        <v>1.4000000000000001</v>
      </c>
    </row>
    <row r="29" spans="1:47 2022:2057" ht="31.2" customHeight="1" x14ac:dyDescent="0.4">
      <c r="A29" s="12"/>
      <c r="B29" s="16">
        <v>0.4</v>
      </c>
      <c r="C29" s="16">
        <v>0.4</v>
      </c>
      <c r="D29" s="16">
        <v>0.4</v>
      </c>
      <c r="E29" s="16">
        <v>0.6</v>
      </c>
      <c r="F29" s="16">
        <v>0.7</v>
      </c>
      <c r="G29" s="16">
        <v>0.7</v>
      </c>
      <c r="H29" s="16"/>
      <c r="I29" s="16"/>
      <c r="J29" s="16"/>
      <c r="K29" s="452" t="s">
        <v>73</v>
      </c>
      <c r="L29" s="549" t="s">
        <v>79</v>
      </c>
      <c r="M29" s="551" t="str">
        <f>IF(N29="","         klik hier op linkermuisknop + selecteer via het pull down menu het gerealiseerd circulaire doel","")</f>
        <v xml:space="preserve">         klik hier op linkermuisknop + selecteer via het pull down menu het gerealiseerd circulaire doel</v>
      </c>
      <c r="N29" s="210"/>
      <c r="O29" s="20"/>
      <c r="P29" s="20"/>
      <c r="Q29" s="20"/>
      <c r="R29" s="20"/>
      <c r="S29" s="20"/>
      <c r="T29" s="20"/>
      <c r="U29" s="20"/>
      <c r="V29" s="128"/>
      <c r="W29" s="7">
        <f t="shared" si="6"/>
        <v>0.4</v>
      </c>
      <c r="X29" s="26">
        <f>'info weging'!B14</f>
        <v>0.1</v>
      </c>
      <c r="Y29" s="26">
        <f>'info weging'!C14</f>
        <v>0.4</v>
      </c>
      <c r="Z29" s="26">
        <f>'info weging'!D14</f>
        <v>0.4</v>
      </c>
      <c r="AA29" s="26">
        <f>'info weging'!E14</f>
        <v>0.6</v>
      </c>
      <c r="AB29" s="26">
        <f>'info weging'!F14</f>
        <v>0.7</v>
      </c>
      <c r="AC29" s="27">
        <f>'info weging'!G14</f>
        <v>0.7</v>
      </c>
      <c r="AD29" s="27">
        <f>'info weging'!H14</f>
        <v>0.4</v>
      </c>
      <c r="AE29" s="92" t="e">
        <f>VLOOKUP(N29,'info weging'!$A$36:$H$163,2,FALSE)</f>
        <v>#N/A</v>
      </c>
      <c r="AF29" s="8" t="e">
        <f>VLOOKUP(N29,'info weging'!$A$36:$H$163,3,FALSE)</f>
        <v>#N/A</v>
      </c>
      <c r="AG29" s="8" t="e">
        <f>VLOOKUP(N29,'info weging'!$A$36:$H$163,4,FALSE)</f>
        <v>#N/A</v>
      </c>
      <c r="AH29" s="8" t="e">
        <f>VLOOKUP(N29,'info weging'!$A$36:$H$163,5,FALSE)</f>
        <v>#N/A</v>
      </c>
      <c r="AI29" s="8" t="e">
        <f>VLOOKUP(N29,'info weging'!$A$36:$H$163,6,FALSE)</f>
        <v>#N/A</v>
      </c>
      <c r="AJ29" s="9" t="e">
        <f>VLOOKUP(N29,'info weging'!$A$36:$H$163,7,FALSE)</f>
        <v>#N/A</v>
      </c>
      <c r="AK29" s="9" t="e">
        <f>VLOOKUP(N29,'info weging'!$A$36:$H$163,8,FALSE)</f>
        <v>#N/A</v>
      </c>
      <c r="AL29" s="260" t="str">
        <f>IF(COUNTA(N29)=1,AE29*$AE$15+AF29*$AF$15+AG29*$AG$15+AH29*$AH$15+AI29*$AI$15+AJ29*$AJ$15+AK29*$AK$15,"----")</f>
        <v>----</v>
      </c>
      <c r="AM29" s="128"/>
      <c r="AN29" s="127">
        <f>'print Basis'!P24</f>
        <v>0.4</v>
      </c>
      <c r="AO29" s="202"/>
      <c r="AP29" s="622"/>
      <c r="AQ29" s="5"/>
      <c r="AR29" s="778"/>
      <c r="AS29" s="20"/>
      <c r="AT29" s="20"/>
      <c r="AU29" s="20"/>
      <c r="BYT29" s="299"/>
      <c r="BYU29" s="299"/>
      <c r="BYV29" s="665" t="s">
        <v>81</v>
      </c>
      <c r="BYW29" s="661" t="s">
        <v>60</v>
      </c>
      <c r="BYX29" s="661" t="s">
        <v>82</v>
      </c>
      <c r="BYY29" s="666" t="e">
        <f>AE32*X32*X31</f>
        <v>#N/A</v>
      </c>
      <c r="BYZ29" s="666">
        <f>100*X32*X31</f>
        <v>4.5</v>
      </c>
      <c r="BZA29" s="660"/>
      <c r="BZB29" s="661" t="s">
        <v>82</v>
      </c>
      <c r="BZC29" s="666" t="e">
        <f>AF32*Y32*Y31</f>
        <v>#N/A</v>
      </c>
      <c r="BZD29" s="666">
        <f>100*Y32*Y31</f>
        <v>6.3000000000000007</v>
      </c>
      <c r="BZE29" s="660"/>
      <c r="BZF29" s="661" t="s">
        <v>82</v>
      </c>
      <c r="BZG29" s="666" t="e">
        <f>AG32*Z32*Z31</f>
        <v>#N/A</v>
      </c>
      <c r="BZH29" s="666">
        <f>100*Z32*Z31</f>
        <v>9</v>
      </c>
      <c r="BZI29" s="660"/>
      <c r="BZJ29" s="661" t="s">
        <v>82</v>
      </c>
      <c r="BZK29" s="666" t="e">
        <f>AH32*AA32*AA31</f>
        <v>#N/A</v>
      </c>
      <c r="BZL29" s="666">
        <f>100*AA32*AA31</f>
        <v>8</v>
      </c>
      <c r="BZM29" s="660"/>
      <c r="BZN29" s="661" t="s">
        <v>82</v>
      </c>
      <c r="BZO29" s="666" t="e">
        <f>AI32*AB32*AB31</f>
        <v>#N/A</v>
      </c>
      <c r="BZP29" s="666">
        <f>100*G32*G31</f>
        <v>7.5</v>
      </c>
      <c r="BZQ29" s="660"/>
      <c r="BZR29" s="661" t="s">
        <v>82</v>
      </c>
      <c r="BZS29" s="661" t="e">
        <f>AJ32*AC32*AC31</f>
        <v>#N/A</v>
      </c>
      <c r="BZT29" s="661">
        <f>100*AC32*AC31</f>
        <v>7.5</v>
      </c>
      <c r="BZU29" s="299"/>
      <c r="BZV29" s="661" t="s">
        <v>82</v>
      </c>
      <c r="BZW29" s="661" t="e">
        <f>AK32*AD32*AD31</f>
        <v>#N/A</v>
      </c>
      <c r="BZX29" s="661">
        <f>100*AD32*AD31</f>
        <v>11.25</v>
      </c>
      <c r="BZY29" s="299"/>
      <c r="BZZ29" s="280"/>
      <c r="CAA29" s="281" t="str">
        <f t="shared" si="8"/>
        <v>herbruikb.na afdank</v>
      </c>
      <c r="CAB29" s="283" t="e">
        <f t="shared" si="7"/>
        <v>#N/A</v>
      </c>
      <c r="CAC29" s="284">
        <f t="shared" si="7"/>
        <v>6.3000000000000007</v>
      </c>
    </row>
    <row r="30" spans="1:47 2022:2057" ht="45.6" customHeight="1" x14ac:dyDescent="0.4">
      <c r="A30" s="12"/>
      <c r="B30" s="16">
        <v>0.2</v>
      </c>
      <c r="C30" s="16">
        <v>0.2</v>
      </c>
      <c r="D30" s="16">
        <v>0.2</v>
      </c>
      <c r="E30" s="16">
        <v>0.1</v>
      </c>
      <c r="F30" s="16">
        <v>0.1</v>
      </c>
      <c r="G30" s="16">
        <v>0.1</v>
      </c>
      <c r="H30" s="16"/>
      <c r="I30" s="16"/>
      <c r="J30" s="16"/>
      <c r="K30" s="452" t="s">
        <v>77</v>
      </c>
      <c r="L30" s="549" t="s">
        <v>83</v>
      </c>
      <c r="M30" s="551" t="str">
        <f>IF(N30="","         klik hier op linkermuisknop + selecteer via het pull down menu het gerealiseerd circulaire doel","")</f>
        <v xml:space="preserve">         klik hier op linkermuisknop + selecteer via het pull down menu het gerealiseerd circulaire doel</v>
      </c>
      <c r="N30" s="210"/>
      <c r="O30" s="20"/>
      <c r="P30" s="20"/>
      <c r="Q30" s="20"/>
      <c r="R30" s="20"/>
      <c r="S30" s="20"/>
      <c r="T30" s="20"/>
      <c r="U30" s="20"/>
      <c r="V30" s="128"/>
      <c r="W30" s="7">
        <f t="shared" si="6"/>
        <v>0.2</v>
      </c>
      <c r="X30" s="26">
        <f>'info weging'!B15</f>
        <v>0.3</v>
      </c>
      <c r="Y30" s="26">
        <f>'info weging'!C15</f>
        <v>0.2</v>
      </c>
      <c r="Z30" s="26">
        <f>'info weging'!D15</f>
        <v>0.2</v>
      </c>
      <c r="AA30" s="26">
        <f>'info weging'!E15</f>
        <v>0.1</v>
      </c>
      <c r="AB30" s="26">
        <f>'info weging'!F15</f>
        <v>0.1</v>
      </c>
      <c r="AC30" s="27">
        <f>'info weging'!G15</f>
        <v>0.1</v>
      </c>
      <c r="AD30" s="27">
        <f>'info weging'!H15</f>
        <v>0.2</v>
      </c>
      <c r="AE30" s="92" t="e">
        <f>VLOOKUP(N30,'info weging'!$A$36:$H$163,2,FALSE)</f>
        <v>#N/A</v>
      </c>
      <c r="AF30" s="8" t="e">
        <f>VLOOKUP(N30,'info weging'!$A$36:$H$163,3,FALSE)</f>
        <v>#N/A</v>
      </c>
      <c r="AG30" s="8" t="e">
        <f>VLOOKUP(N30,'info weging'!$A$36:$H$163,4,FALSE)</f>
        <v>#N/A</v>
      </c>
      <c r="AH30" s="8" t="e">
        <f>VLOOKUP(N30,'info weging'!$A$36:$H$163,5,FALSE)</f>
        <v>#N/A</v>
      </c>
      <c r="AI30" s="8" t="e">
        <f>VLOOKUP(N30,'info weging'!$A$36:$H$163,6,FALSE)</f>
        <v>#N/A</v>
      </c>
      <c r="AJ30" s="9" t="e">
        <f>VLOOKUP(N30,'info weging'!$A$36:$H$163,7,FALSE)</f>
        <v>#N/A</v>
      </c>
      <c r="AK30" s="9" t="e">
        <f>VLOOKUP(N30,'info weging'!$A$36:$H$163,8,FALSE)</f>
        <v>#N/A</v>
      </c>
      <c r="AL30" s="260" t="str">
        <f>IF(COUNTA(N30)=1,AE30*$AE$15+AF30*$AF$15+AG30*$AG$15+AH30*$AH$15+AI30*$AI$15+AJ30*$AJ$15+AK30*$AK$15,"----")</f>
        <v>----</v>
      </c>
      <c r="AM30" s="128"/>
      <c r="AN30" s="127">
        <f>'print Basis'!P25</f>
        <v>0.2</v>
      </c>
      <c r="AO30" s="202"/>
      <c r="AP30" s="622"/>
      <c r="AQ30" s="5"/>
      <c r="AR30" s="778"/>
      <c r="AS30" s="20"/>
      <c r="AT30" s="20"/>
      <c r="AU30" s="20"/>
      <c r="BYT30" s="299"/>
      <c r="BYU30" s="299"/>
      <c r="BYV30" s="661"/>
      <c r="BYW30" s="661" t="s">
        <v>73</v>
      </c>
      <c r="BYX30" s="661" t="s">
        <v>85</v>
      </c>
      <c r="BYY30" s="666" t="e">
        <f>AE33*X33*X31</f>
        <v>#N/A</v>
      </c>
      <c r="BYZ30" s="666">
        <f>100*X33*X31</f>
        <v>0.5</v>
      </c>
      <c r="BZA30" s="660"/>
      <c r="BZB30" s="661" t="s">
        <v>85</v>
      </c>
      <c r="BZC30" s="666" t="e">
        <f>AF33*Y33*Y31</f>
        <v>#N/A</v>
      </c>
      <c r="BZD30" s="666">
        <f>Y33*Y31*100</f>
        <v>0.70000000000000007</v>
      </c>
      <c r="BZE30" s="660"/>
      <c r="BZF30" s="661" t="s">
        <v>85</v>
      </c>
      <c r="BZG30" s="666" t="e">
        <f>AG33*Z33*Z31</f>
        <v>#N/A</v>
      </c>
      <c r="BZH30" s="666">
        <f>Z33*Z31*100</f>
        <v>1.0000000000000002</v>
      </c>
      <c r="BZI30" s="660"/>
      <c r="BZJ30" s="661" t="s">
        <v>85</v>
      </c>
      <c r="BZK30" s="666" t="e">
        <f>AH33*AA33*AA31</f>
        <v>#N/A</v>
      </c>
      <c r="BZL30" s="666">
        <f>100*AA33*AA31</f>
        <v>2</v>
      </c>
      <c r="BZM30" s="660"/>
      <c r="BZN30" s="661" t="s">
        <v>85</v>
      </c>
      <c r="BZO30" s="666" t="e">
        <f>AI33*AB33*AB31</f>
        <v>#N/A</v>
      </c>
      <c r="BZP30" s="666">
        <f>G33*G31*100</f>
        <v>7.5</v>
      </c>
      <c r="BZQ30" s="660"/>
      <c r="BZR30" s="661" t="s">
        <v>85</v>
      </c>
      <c r="BZS30" s="661" t="e">
        <f>AJ33*AC33*AC31</f>
        <v>#N/A</v>
      </c>
      <c r="BZT30" s="661">
        <f>AC33*AC31*100</f>
        <v>7.5</v>
      </c>
      <c r="BZU30" s="299"/>
      <c r="BZV30" s="661" t="s">
        <v>85</v>
      </c>
      <c r="BZW30" s="661" t="e">
        <f>AK33*AD33*AD31</f>
        <v>#N/A</v>
      </c>
      <c r="BZX30" s="661">
        <f>100*AD33*AD31</f>
        <v>1.25</v>
      </c>
      <c r="BZY30" s="299"/>
      <c r="BZZ30" s="280"/>
      <c r="CAA30" s="281" t="str">
        <f t="shared" si="8"/>
        <v>materialenpaspoort</v>
      </c>
      <c r="CAB30" s="283" t="e">
        <f t="shared" si="7"/>
        <v>#N/A</v>
      </c>
      <c r="CAC30" s="284">
        <f t="shared" si="7"/>
        <v>0.70000000000000007</v>
      </c>
    </row>
    <row r="31" spans="1:47 2022:2057" ht="21" customHeight="1" x14ac:dyDescent="0.4">
      <c r="A31" s="12"/>
      <c r="B31" s="15">
        <v>0.05</v>
      </c>
      <c r="C31" s="15">
        <v>0.1</v>
      </c>
      <c r="D31" s="15">
        <v>0.15</v>
      </c>
      <c r="E31" s="15">
        <v>0.1</v>
      </c>
      <c r="F31" s="15">
        <v>0.15</v>
      </c>
      <c r="G31" s="15">
        <v>0.15</v>
      </c>
      <c r="H31" s="15"/>
      <c r="I31" s="15"/>
      <c r="J31" s="15"/>
      <c r="K31" s="85">
        <v>4</v>
      </c>
      <c r="L31" s="44" t="s">
        <v>86</v>
      </c>
      <c r="M31" s="41"/>
      <c r="N31" s="240"/>
      <c r="O31" s="20"/>
      <c r="P31" s="20"/>
      <c r="Q31" s="20"/>
      <c r="R31" s="20"/>
      <c r="S31" s="20"/>
      <c r="T31" s="20"/>
      <c r="U31" s="20">
        <v>4</v>
      </c>
      <c r="V31" s="128"/>
      <c r="W31" s="7">
        <f t="shared" si="6"/>
        <v>7.0000000000000007E-2</v>
      </c>
      <c r="X31" s="22">
        <f>'info weging'!B16</f>
        <v>0.05</v>
      </c>
      <c r="Y31" s="22">
        <f>'info weging'!C16</f>
        <v>7.0000000000000007E-2</v>
      </c>
      <c r="Z31" s="22">
        <f>'info weging'!D16</f>
        <v>0.1</v>
      </c>
      <c r="AA31" s="22">
        <f>'info weging'!E16</f>
        <v>0.1</v>
      </c>
      <c r="AB31" s="22">
        <f>'info weging'!F16</f>
        <v>0.15</v>
      </c>
      <c r="AC31" s="23">
        <f>'info weging'!G16</f>
        <v>0.15</v>
      </c>
      <c r="AD31" s="23">
        <f>'info weging'!H16</f>
        <v>0.125</v>
      </c>
      <c r="AE31" s="75"/>
      <c r="AF31" s="70"/>
      <c r="AG31" s="70"/>
      <c r="AH31" s="70"/>
      <c r="AI31" s="70"/>
      <c r="AJ31" s="71"/>
      <c r="AK31" s="71"/>
      <c r="AL31" s="261"/>
      <c r="AM31" s="128"/>
      <c r="AN31" s="201">
        <f>'print Basis'!P26</f>
        <v>7.0000000000000007E-2</v>
      </c>
      <c r="AO31" s="128"/>
      <c r="AP31" s="621" t="e">
        <f>AN31*(AL32*AN32+AL33*AN33)</f>
        <v>#VALUE!</v>
      </c>
      <c r="AQ31" s="5"/>
      <c r="AR31" s="779"/>
      <c r="AS31" s="20"/>
      <c r="AT31" s="20"/>
      <c r="AU31" s="20"/>
      <c r="BYT31" s="299"/>
      <c r="BYU31" s="299"/>
      <c r="BYV31" s="665" t="s">
        <v>87</v>
      </c>
      <c r="BYW31" s="661" t="s">
        <v>60</v>
      </c>
      <c r="BYX31" s="661" t="s">
        <v>88</v>
      </c>
      <c r="BYY31" s="666" t="e">
        <f>AE35*X35*X34</f>
        <v>#N/A</v>
      </c>
      <c r="BYZ31" s="666">
        <f>100*X35*X34</f>
        <v>15</v>
      </c>
      <c r="BZA31" s="660"/>
      <c r="BZB31" s="661" t="s">
        <v>88</v>
      </c>
      <c r="BZC31" s="666" t="e">
        <f>AF35*Y35*Y34</f>
        <v>#N/A</v>
      </c>
      <c r="BZD31" s="666">
        <f>100*Y35*Y34</f>
        <v>10</v>
      </c>
      <c r="BZE31" s="660"/>
      <c r="BZF31" s="661" t="s">
        <v>88</v>
      </c>
      <c r="BZG31" s="666" t="e">
        <f>AG35*Z35*Z34</f>
        <v>#N/A</v>
      </c>
      <c r="BZH31" s="666">
        <f>100*Z35*Z34</f>
        <v>10</v>
      </c>
      <c r="BZI31" s="660"/>
      <c r="BZJ31" s="661" t="s">
        <v>88</v>
      </c>
      <c r="BZK31" s="666" t="e">
        <f>AH35*AA35*AA34</f>
        <v>#N/A</v>
      </c>
      <c r="BZL31" s="666">
        <f>100*AA35*AA34</f>
        <v>5</v>
      </c>
      <c r="BZM31" s="660"/>
      <c r="BZN31" s="661" t="s">
        <v>88</v>
      </c>
      <c r="BZO31" s="666" t="e">
        <f>AI35*AB35*AB34</f>
        <v>#N/A</v>
      </c>
      <c r="BZP31" s="666">
        <f>100*G35*G34</f>
        <v>5</v>
      </c>
      <c r="BZQ31" s="660"/>
      <c r="BZR31" s="661" t="s">
        <v>88</v>
      </c>
      <c r="BZS31" s="661" t="e">
        <f>AJ35*AC35*AC34</f>
        <v>#N/A</v>
      </c>
      <c r="BZT31" s="661">
        <f>100*AC35*AC34</f>
        <v>5</v>
      </c>
      <c r="BZU31" s="299"/>
      <c r="BZV31" s="661" t="s">
        <v>88</v>
      </c>
      <c r="BZW31" s="661" t="e">
        <f>AK35*AD35*AD34</f>
        <v>#N/A</v>
      </c>
      <c r="BZX31" s="661">
        <f>100*AD35*AD34</f>
        <v>12.5</v>
      </c>
      <c r="BZY31" s="299"/>
      <c r="BZZ31" s="280"/>
      <c r="CAA31" s="281" t="str">
        <f t="shared" si="8"/>
        <v>toekomstgericht</v>
      </c>
      <c r="CAB31" s="283" t="e">
        <f t="shared" si="7"/>
        <v>#N/A</v>
      </c>
      <c r="CAC31" s="284">
        <f t="shared" si="7"/>
        <v>10</v>
      </c>
    </row>
    <row r="32" spans="1:47 2022:2057" ht="51" customHeight="1" x14ac:dyDescent="0.4">
      <c r="A32" s="12"/>
      <c r="B32" s="16">
        <f>1-B33</f>
        <v>0.9</v>
      </c>
      <c r="C32" s="16">
        <f t="shared" ref="C32:G32" si="9">1-C33</f>
        <v>0.9</v>
      </c>
      <c r="D32" s="16">
        <f t="shared" si="9"/>
        <v>0.9</v>
      </c>
      <c r="E32" s="16">
        <v>0.8</v>
      </c>
      <c r="F32" s="16">
        <f t="shared" si="9"/>
        <v>0.5</v>
      </c>
      <c r="G32" s="16">
        <f t="shared" si="9"/>
        <v>0.5</v>
      </c>
      <c r="H32" s="16"/>
      <c r="I32" s="16"/>
      <c r="J32" s="16"/>
      <c r="K32" s="452" t="s">
        <v>60</v>
      </c>
      <c r="L32" s="549" t="s">
        <v>89</v>
      </c>
      <c r="M32" s="551" t="str">
        <f>IF(N32="","         klik hier op linkermuisknop + selecteer via het pull down menu het gerealiseerd circulaire doel","")</f>
        <v xml:space="preserve">         klik hier op linkermuisknop + selecteer via het pull down menu het gerealiseerd circulaire doel</v>
      </c>
      <c r="N32" s="210"/>
      <c r="O32" s="20"/>
      <c r="P32" s="20"/>
      <c r="Q32" s="20"/>
      <c r="R32" s="20"/>
      <c r="S32" s="20"/>
      <c r="T32" s="20"/>
      <c r="U32" s="20"/>
      <c r="V32" s="128"/>
      <c r="W32" s="7">
        <f t="shared" si="6"/>
        <v>0.9</v>
      </c>
      <c r="X32" s="26">
        <f>'info weging'!B17</f>
        <v>0.9</v>
      </c>
      <c r="Y32" s="26">
        <f>'info weging'!C17</f>
        <v>0.9</v>
      </c>
      <c r="Z32" s="26">
        <f>'info weging'!D17</f>
        <v>0.9</v>
      </c>
      <c r="AA32" s="26">
        <f>'info weging'!E17</f>
        <v>0.8</v>
      </c>
      <c r="AB32" s="26">
        <f>'info weging'!F17</f>
        <v>0.5</v>
      </c>
      <c r="AC32" s="27">
        <f>'info weging'!G17</f>
        <v>0.5</v>
      </c>
      <c r="AD32" s="27">
        <f>'info weging'!H17</f>
        <v>0.9</v>
      </c>
      <c r="AE32" s="94" t="e">
        <f>VLOOKUP(N32,'info weging'!$A$36:$H$163,2,FALSE)</f>
        <v>#N/A</v>
      </c>
      <c r="AF32" s="8" t="e">
        <f>VLOOKUP(N32,'info weging'!$A$36:$H$163,3,FALSE)</f>
        <v>#N/A</v>
      </c>
      <c r="AG32" s="8" t="e">
        <f>VLOOKUP(N32,'info weging'!$A$36:$H$163,4,FALSE)</f>
        <v>#N/A</v>
      </c>
      <c r="AH32" s="8" t="e">
        <f>VLOOKUP(N32,'info weging'!$A$36:$H$163,5,FALSE)</f>
        <v>#N/A</v>
      </c>
      <c r="AI32" s="8" t="e">
        <f>VLOOKUP(N32,'info weging'!$A$36:$H$163,6,FALSE)</f>
        <v>#N/A</v>
      </c>
      <c r="AJ32" s="9" t="e">
        <f>VLOOKUP(N32,'info weging'!$A$36:$H$163,7,FALSE)</f>
        <v>#N/A</v>
      </c>
      <c r="AK32" s="9" t="e">
        <f>VLOOKUP(N32,'info weging'!$A$36:$H$163,8,FALSE)</f>
        <v>#N/A</v>
      </c>
      <c r="AL32" s="260" t="str">
        <f>IF(COUNTA(N32)=1,AE32*$AE$15+AF32*$AF$15+AG32*$AG$15+AH32*$AH$15+AI32*$AI$15+AJ32*$AJ$15+AK32*$AK$15,"----")</f>
        <v>----</v>
      </c>
      <c r="AM32" s="128"/>
      <c r="AN32" s="127">
        <f>'print Basis'!P27</f>
        <v>0.9</v>
      </c>
      <c r="AO32" s="128"/>
      <c r="AP32" s="622"/>
      <c r="AQ32" s="5"/>
      <c r="AR32" s="778"/>
      <c r="AS32" s="20"/>
      <c r="AT32" s="20"/>
      <c r="AU32" s="20"/>
      <c r="BYT32" s="299"/>
      <c r="BYU32" s="299"/>
      <c r="BYV32" s="665" t="s">
        <v>91</v>
      </c>
      <c r="BYW32" s="661" t="s">
        <v>60</v>
      </c>
      <c r="BYX32" s="661" t="s">
        <v>35</v>
      </c>
      <c r="BYY32" s="666" t="e">
        <f>AE37*X37*X36</f>
        <v>#N/A</v>
      </c>
      <c r="BYZ32" s="666">
        <f>100*X37*X36</f>
        <v>5</v>
      </c>
      <c r="BZA32" s="660"/>
      <c r="BZB32" s="661" t="s">
        <v>35</v>
      </c>
      <c r="BZC32" s="666" t="e">
        <f>AF37*Y37*Y36</f>
        <v>#N/A</v>
      </c>
      <c r="BZD32" s="666">
        <f>100*Y37*Y36</f>
        <v>7.0000000000000009</v>
      </c>
      <c r="BZE32" s="660"/>
      <c r="BZF32" s="661" t="s">
        <v>35</v>
      </c>
      <c r="BZG32" s="666" t="e">
        <f>AG37*Z37*Z36</f>
        <v>#N/A</v>
      </c>
      <c r="BZH32" s="666">
        <f>100*Z37*Z36</f>
        <v>13</v>
      </c>
      <c r="BZI32" s="660"/>
      <c r="BZJ32" s="661" t="s">
        <v>35</v>
      </c>
      <c r="BZK32" s="666" t="e">
        <f>AH37*AA37*AA36</f>
        <v>#N/A</v>
      </c>
      <c r="BZL32" s="666">
        <f>100*AA37*AA36</f>
        <v>15</v>
      </c>
      <c r="BZM32" s="660"/>
      <c r="BZN32" s="661" t="s">
        <v>35</v>
      </c>
      <c r="BZO32" s="666" t="e">
        <f>AI37*AB37*AB36</f>
        <v>#N/A</v>
      </c>
      <c r="BZP32" s="666">
        <f>100*G37*G36</f>
        <v>20</v>
      </c>
      <c r="BZQ32" s="660"/>
      <c r="BZR32" s="661" t="s">
        <v>35</v>
      </c>
      <c r="BZS32" s="661" t="e">
        <f>AJ37*AC37*AC36</f>
        <v>#N/A</v>
      </c>
      <c r="BZT32" s="661">
        <f>100*AC37*AC36</f>
        <v>20</v>
      </c>
      <c r="BZU32" s="299"/>
      <c r="BZV32" s="661" t="s">
        <v>35</v>
      </c>
      <c r="BZW32" s="661" t="e">
        <f>AK37*AD37*AD36</f>
        <v>#N/A</v>
      </c>
      <c r="BZX32" s="661">
        <f>100*AD37*AD36</f>
        <v>12.5</v>
      </c>
      <c r="BZY32" s="299"/>
      <c r="BZZ32" s="280"/>
      <c r="CAA32" s="281" t="str">
        <f t="shared" si="8"/>
        <v>beheer/onderhoud</v>
      </c>
      <c r="CAB32" s="283" t="e">
        <f t="shared" si="7"/>
        <v>#N/A</v>
      </c>
      <c r="CAC32" s="284">
        <f t="shared" si="7"/>
        <v>7.0000000000000009</v>
      </c>
    </row>
    <row r="33" spans="1:49 2022:2057" ht="40.200000000000003" customHeight="1" x14ac:dyDescent="0.4">
      <c r="A33" s="12"/>
      <c r="B33" s="16">
        <v>0.1</v>
      </c>
      <c r="C33" s="16">
        <v>0.1</v>
      </c>
      <c r="D33" s="16">
        <v>0.1</v>
      </c>
      <c r="E33" s="16">
        <v>0.2</v>
      </c>
      <c r="F33" s="16">
        <v>0.5</v>
      </c>
      <c r="G33" s="16">
        <v>0.5</v>
      </c>
      <c r="H33" s="16"/>
      <c r="I33" s="16"/>
      <c r="J33" s="16"/>
      <c r="K33" s="452" t="s">
        <v>73</v>
      </c>
      <c r="L33" s="549" t="s">
        <v>85</v>
      </c>
      <c r="M33" s="551" t="str">
        <f>IF(N33="","         klik hier op linkermuisknop + selecteer via het pull down menu het gerealiseerd circulaire doel","")</f>
        <v xml:space="preserve">         klik hier op linkermuisknop + selecteer via het pull down menu het gerealiseerd circulaire doel</v>
      </c>
      <c r="N33" s="210"/>
      <c r="O33" s="20"/>
      <c r="P33" s="20"/>
      <c r="Q33" s="20"/>
      <c r="R33" s="20"/>
      <c r="S33" s="20"/>
      <c r="T33" s="20"/>
      <c r="U33" s="20"/>
      <c r="V33" s="128"/>
      <c r="W33" s="7">
        <f t="shared" si="6"/>
        <v>0.1</v>
      </c>
      <c r="X33" s="26">
        <f>'info weging'!B18</f>
        <v>0.1</v>
      </c>
      <c r="Y33" s="26">
        <f>'info weging'!C18</f>
        <v>0.1</v>
      </c>
      <c r="Z33" s="26">
        <f>'info weging'!D18</f>
        <v>0.1</v>
      </c>
      <c r="AA33" s="26">
        <f>'info weging'!E18</f>
        <v>0.2</v>
      </c>
      <c r="AB33" s="26">
        <f>'info weging'!F18</f>
        <v>0.5</v>
      </c>
      <c r="AC33" s="27">
        <f>'info weging'!G18</f>
        <v>0.5</v>
      </c>
      <c r="AD33" s="27">
        <f>'info weging'!H18</f>
        <v>0.1</v>
      </c>
      <c r="AE33" s="94" t="e">
        <f>VLOOKUP(N33,'info weging'!$A$36:$H$163,2,FALSE)</f>
        <v>#N/A</v>
      </c>
      <c r="AF33" s="8" t="e">
        <f>VLOOKUP(N33,'info weging'!$A$36:$H$163,3,FALSE)</f>
        <v>#N/A</v>
      </c>
      <c r="AG33" s="8" t="e">
        <f>VLOOKUP(N33,'info weging'!$A$36:$H$163,4,FALSE)</f>
        <v>#N/A</v>
      </c>
      <c r="AH33" s="8" t="e">
        <f>VLOOKUP(N33,'info weging'!$A$36:$H$163,5,FALSE)</f>
        <v>#N/A</v>
      </c>
      <c r="AI33" s="8" t="e">
        <f>VLOOKUP(N33,'info weging'!$A$36:$H$163,6,FALSE)</f>
        <v>#N/A</v>
      </c>
      <c r="AJ33" s="9" t="e">
        <f>VLOOKUP(N33,'info weging'!$A$36:$H$163,7,FALSE)</f>
        <v>#N/A</v>
      </c>
      <c r="AK33" s="9" t="e">
        <f>VLOOKUP(N33,'info weging'!$A$36:$H$163,8,FALSE)</f>
        <v>#N/A</v>
      </c>
      <c r="AL33" s="260" t="str">
        <f>IF(COUNTA(N33)=1,AE33*$AE$15+AF33*$AF$15+AG33*$AG$15+AH33*$AH$15+AI33*$AI$15+AJ33*$AJ$15+AK33*$AK$15,"----")</f>
        <v>----</v>
      </c>
      <c r="AM33" s="128"/>
      <c r="AN33" s="127">
        <f>'print Basis'!P28</f>
        <v>0.1</v>
      </c>
      <c r="AO33" s="128"/>
      <c r="AP33" s="622"/>
      <c r="AQ33" s="5"/>
      <c r="AR33" s="778"/>
      <c r="AS33" s="20"/>
      <c r="AT33" s="20"/>
      <c r="AU33" s="20"/>
      <c r="AW33" t="s">
        <v>93</v>
      </c>
      <c r="BYT33" s="299"/>
      <c r="BYU33" s="299"/>
      <c r="BYV33" s="665" t="s">
        <v>94</v>
      </c>
      <c r="BYW33" s="661" t="s">
        <v>60</v>
      </c>
      <c r="BYX33" s="661" t="s">
        <v>95</v>
      </c>
      <c r="BYY33" s="666" t="e">
        <f>AE39*X39*X38</f>
        <v>#N/A</v>
      </c>
      <c r="BYZ33" s="666">
        <f>100*X39*X38</f>
        <v>2.5</v>
      </c>
      <c r="BZA33" s="660"/>
      <c r="BZB33" s="661" t="s">
        <v>95</v>
      </c>
      <c r="BZC33" s="666" t="e">
        <f>AF39*Y39*Y38</f>
        <v>#N/A</v>
      </c>
      <c r="BZD33" s="666">
        <f>100*Y39*Y38</f>
        <v>20</v>
      </c>
      <c r="BZE33" s="660"/>
      <c r="BZF33" s="661" t="s">
        <v>95</v>
      </c>
      <c r="BZG33" s="666" t="e">
        <f>AG39*Z39*Z38</f>
        <v>#N/A</v>
      </c>
      <c r="BZH33" s="666">
        <f>100*Z39*Z38</f>
        <v>10</v>
      </c>
      <c r="BZI33" s="660"/>
      <c r="BZJ33" s="661" t="s">
        <v>95</v>
      </c>
      <c r="BZK33" s="666" t="e">
        <f>AH39*AA39*AA38</f>
        <v>#N/A</v>
      </c>
      <c r="BZL33" s="666">
        <f>100*AA39*AA38</f>
        <v>10</v>
      </c>
      <c r="BZM33" s="660"/>
      <c r="BZN33" s="661" t="s">
        <v>95</v>
      </c>
      <c r="BZO33" s="666" t="e">
        <f>AI39*AB39*AB38</f>
        <v>#N/A</v>
      </c>
      <c r="BZP33" s="666">
        <f>100*G39*G38</f>
        <v>7.0000000000000009</v>
      </c>
      <c r="BZQ33" s="660"/>
      <c r="BZR33" s="661" t="s">
        <v>95</v>
      </c>
      <c r="BZS33" s="661" t="e">
        <f>AJ39*AC39*AC38</f>
        <v>#N/A</v>
      </c>
      <c r="BZT33" s="661">
        <f>100*AC39*AC38</f>
        <v>2</v>
      </c>
      <c r="BZU33" s="299"/>
      <c r="BZV33" s="661" t="s">
        <v>95</v>
      </c>
      <c r="BZW33" s="661" t="e">
        <f>AK39*AD39*AD38</f>
        <v>#N/A</v>
      </c>
      <c r="BZX33" s="661">
        <f>100*AD39*AD38</f>
        <v>10</v>
      </c>
      <c r="BZY33" s="299"/>
      <c r="BZZ33" s="280"/>
      <c r="CAA33" s="281" t="str">
        <f t="shared" si="8"/>
        <v>MKIberekening</v>
      </c>
      <c r="CAB33" s="283" t="e">
        <f t="shared" si="7"/>
        <v>#N/A</v>
      </c>
      <c r="CAC33" s="284">
        <f t="shared" si="7"/>
        <v>20</v>
      </c>
    </row>
    <row r="34" spans="1:49 2022:2057" ht="21" customHeight="1" x14ac:dyDescent="0.4">
      <c r="A34" s="12"/>
      <c r="B34" s="15">
        <v>0.15</v>
      </c>
      <c r="C34" s="15">
        <v>0.11</v>
      </c>
      <c r="D34" s="15">
        <v>0.1</v>
      </c>
      <c r="E34" s="15">
        <v>0.11</v>
      </c>
      <c r="F34" s="15">
        <v>0.1</v>
      </c>
      <c r="G34" s="15">
        <v>0.05</v>
      </c>
      <c r="H34" s="15"/>
      <c r="I34" s="15"/>
      <c r="J34" s="15"/>
      <c r="K34" s="99">
        <v>5</v>
      </c>
      <c r="L34" s="100" t="s">
        <v>96</v>
      </c>
      <c r="M34" s="101"/>
      <c r="N34" s="241"/>
      <c r="O34" s="20"/>
      <c r="P34" s="20"/>
      <c r="Q34" s="20"/>
      <c r="R34" s="20"/>
      <c r="S34" s="20"/>
      <c r="T34" s="20"/>
      <c r="U34" s="20">
        <v>5</v>
      </c>
      <c r="V34" s="128"/>
      <c r="W34" s="7">
        <f t="shared" si="6"/>
        <v>0.1</v>
      </c>
      <c r="X34" s="22">
        <f>'info weging'!B19</f>
        <v>0.15</v>
      </c>
      <c r="Y34" s="22">
        <f>'info weging'!C19</f>
        <v>0.1</v>
      </c>
      <c r="Z34" s="22">
        <f>'info weging'!D19</f>
        <v>0.1</v>
      </c>
      <c r="AA34" s="22">
        <f>'info weging'!E19</f>
        <v>0.05</v>
      </c>
      <c r="AB34" s="22">
        <f>'info weging'!F19</f>
        <v>0.05</v>
      </c>
      <c r="AC34" s="23">
        <f>'info weging'!G19</f>
        <v>0.05</v>
      </c>
      <c r="AD34" s="23">
        <f>'info weging'!H19</f>
        <v>0.125</v>
      </c>
      <c r="AE34" s="102"/>
      <c r="AF34" s="68"/>
      <c r="AG34" s="68"/>
      <c r="AH34" s="68"/>
      <c r="AI34" s="68"/>
      <c r="AJ34" s="69"/>
      <c r="AK34" s="69"/>
      <c r="AL34" s="262"/>
      <c r="AM34" s="128"/>
      <c r="AN34" s="201">
        <f>'print Basis'!P29</f>
        <v>0.1</v>
      </c>
      <c r="AO34" s="128"/>
      <c r="AP34" s="621" t="e">
        <f>AN34*(AL35*AN35)</f>
        <v>#VALUE!</v>
      </c>
      <c r="AQ34" s="5"/>
      <c r="AR34" s="779"/>
      <c r="AS34" s="20"/>
      <c r="AT34" s="20"/>
      <c r="AU34" s="20"/>
      <c r="BYT34" s="299"/>
      <c r="BYU34" s="299"/>
      <c r="BYV34" s="661"/>
      <c r="BYW34" s="661" t="s">
        <v>73</v>
      </c>
      <c r="BYX34" s="661" t="s">
        <v>97</v>
      </c>
      <c r="BYY34" s="666" t="e">
        <f>AE40*X40*X38</f>
        <v>#N/A</v>
      </c>
      <c r="BYZ34" s="666">
        <f>100*X40*X38</f>
        <v>2.5</v>
      </c>
      <c r="BZA34" s="660"/>
      <c r="BZB34" s="661" t="s">
        <v>97</v>
      </c>
      <c r="BZC34" s="666" t="e">
        <f>AF40*Y40*Y38</f>
        <v>#N/A</v>
      </c>
      <c r="BZD34" s="666">
        <f>Y40*Y38*100</f>
        <v>4.9999999999999991</v>
      </c>
      <c r="BZE34" s="660"/>
      <c r="BZF34" s="661" t="s">
        <v>97</v>
      </c>
      <c r="BZG34" s="666" t="e">
        <f>AG40*Z40*Z38</f>
        <v>#N/A</v>
      </c>
      <c r="BZH34" s="666">
        <f>Z40*Z38*100</f>
        <v>10</v>
      </c>
      <c r="BZI34" s="660"/>
      <c r="BZJ34" s="661" t="s">
        <v>97</v>
      </c>
      <c r="BZK34" s="666" t="e">
        <f>AH40*AA40*AA38</f>
        <v>#N/A</v>
      </c>
      <c r="BZL34" s="666">
        <f>100*AA40*AA38</f>
        <v>10</v>
      </c>
      <c r="BZM34" s="660"/>
      <c r="BZN34" s="661" t="s">
        <v>97</v>
      </c>
      <c r="BZO34" s="666" t="e">
        <f>AI40*AB40*AB38</f>
        <v>#N/A</v>
      </c>
      <c r="BZP34" s="666">
        <f>G40*G38*100</f>
        <v>7.0000000000000009</v>
      </c>
      <c r="BZQ34" s="660"/>
      <c r="BZR34" s="661" t="s">
        <v>97</v>
      </c>
      <c r="BZS34" s="661" t="e">
        <f>AJ40*AC40*AC38</f>
        <v>#N/A</v>
      </c>
      <c r="BZT34" s="661">
        <f>AC40*AC38*100</f>
        <v>2</v>
      </c>
      <c r="BZU34" s="299"/>
      <c r="BZV34" s="661" t="s">
        <v>97</v>
      </c>
      <c r="BZW34" s="661" t="e">
        <f>AK40*AD40*AD38</f>
        <v>#N/A</v>
      </c>
      <c r="BZX34" s="661">
        <f>100*AD40*AD38</f>
        <v>2.4999999999999996</v>
      </c>
      <c r="BZY34" s="299"/>
      <c r="BZZ34" s="280"/>
      <c r="CAA34" s="281" t="str">
        <f t="shared" si="8"/>
        <v>CIberekening</v>
      </c>
      <c r="CAB34" s="283" t="e">
        <f t="shared" si="7"/>
        <v>#N/A</v>
      </c>
      <c r="CAC34" s="284">
        <f t="shared" si="7"/>
        <v>4.9999999999999991</v>
      </c>
    </row>
    <row r="35" spans="1:49 2022:2057" ht="46.2" customHeight="1" x14ac:dyDescent="0.4">
      <c r="A35" s="12"/>
      <c r="B35" s="16">
        <v>1</v>
      </c>
      <c r="C35" s="16">
        <v>1</v>
      </c>
      <c r="D35" s="16">
        <v>1</v>
      </c>
      <c r="E35" s="16">
        <v>1</v>
      </c>
      <c r="F35" s="16">
        <v>1</v>
      </c>
      <c r="G35" s="16">
        <v>1</v>
      </c>
      <c r="H35" s="16"/>
      <c r="I35" s="16"/>
      <c r="J35" s="16"/>
      <c r="K35" s="452" t="s">
        <v>60</v>
      </c>
      <c r="L35" s="549" t="s">
        <v>98</v>
      </c>
      <c r="M35" s="551" t="str">
        <f>IF(N35="","         klik hier op linkermuisknop + selecteer via het pull down menu het gerealiseerd circulaire doel","")</f>
        <v xml:space="preserve">         klik hier op linkermuisknop + selecteer via het pull down menu het gerealiseerd circulaire doel</v>
      </c>
      <c r="N35" s="210"/>
      <c r="O35" s="20"/>
      <c r="P35" s="20"/>
      <c r="Q35" s="20"/>
      <c r="R35" s="20"/>
      <c r="S35" s="20"/>
      <c r="T35" s="20"/>
      <c r="U35" s="20"/>
      <c r="V35" s="128"/>
      <c r="W35" s="7">
        <f t="shared" si="6"/>
        <v>1</v>
      </c>
      <c r="X35" s="26">
        <f>'info weging'!B20</f>
        <v>1</v>
      </c>
      <c r="Y35" s="26">
        <f>'info weging'!C20</f>
        <v>1</v>
      </c>
      <c r="Z35" s="26">
        <f>'info weging'!D20</f>
        <v>1</v>
      </c>
      <c r="AA35" s="26">
        <f>'info weging'!E20</f>
        <v>1</v>
      </c>
      <c r="AB35" s="26">
        <f>'info weging'!F20</f>
        <v>1</v>
      </c>
      <c r="AC35" s="27">
        <f>'info weging'!G20</f>
        <v>1</v>
      </c>
      <c r="AD35" s="27">
        <f>'info weging'!H20</f>
        <v>1</v>
      </c>
      <c r="AE35" s="93" t="e">
        <f>VLOOKUP(N35,'info weging'!$A$36:$H$163,2,FALSE)</f>
        <v>#N/A</v>
      </c>
      <c r="AF35" s="8" t="e">
        <f>VLOOKUP(N35,'info weging'!$A$36:$H$163,3,FALSE)</f>
        <v>#N/A</v>
      </c>
      <c r="AG35" s="8" t="e">
        <f>VLOOKUP(N35,'info weging'!$A$36:$H$163,4,FALSE)</f>
        <v>#N/A</v>
      </c>
      <c r="AH35" s="8" t="e">
        <f>VLOOKUP(N35,'info weging'!$A$36:$H$163,5,FALSE)</f>
        <v>#N/A</v>
      </c>
      <c r="AI35" s="8" t="e">
        <f>VLOOKUP(N35,'info weging'!$A$36:$H$163,6,FALSE)</f>
        <v>#N/A</v>
      </c>
      <c r="AJ35" s="9" t="e">
        <f>VLOOKUP(N35,'info weging'!$A$36:$H$163,7,FALSE)</f>
        <v>#N/A</v>
      </c>
      <c r="AK35" s="9" t="e">
        <f>VLOOKUP(N35,'info weging'!$A$36:$H$163,8,FALSE)</f>
        <v>#N/A</v>
      </c>
      <c r="AL35" s="260" t="str">
        <f>IF(COUNTA(N35)=1,AE35*$AE$15+AF35*$AF$15+AG35*$AG$15+AH35*$AH$15+AI35*$AI$15+AJ35*$AJ$15+AK35*$AK$15,"----")</f>
        <v>----</v>
      </c>
      <c r="AM35" s="128"/>
      <c r="AN35" s="127">
        <f>'print Basis'!P30</f>
        <v>1</v>
      </c>
      <c r="AO35" s="128"/>
      <c r="AP35" s="622"/>
      <c r="AQ35" s="5"/>
      <c r="AR35" s="778"/>
      <c r="AS35" s="20"/>
      <c r="AT35" s="20"/>
      <c r="AU35" s="20"/>
      <c r="BYT35" s="299"/>
      <c r="BYU35" s="299"/>
      <c r="BYV35" s="665" t="s">
        <v>100</v>
      </c>
      <c r="BYW35" s="661" t="s">
        <v>60</v>
      </c>
      <c r="BYX35" s="661" t="s">
        <v>101</v>
      </c>
      <c r="BYY35" s="666" t="e">
        <f>AE42*X42*X41</f>
        <v>#N/A</v>
      </c>
      <c r="BYZ35" s="666">
        <f>100*X42*X41</f>
        <v>2</v>
      </c>
      <c r="BZA35" s="660"/>
      <c r="BZB35" s="661" t="s">
        <v>101</v>
      </c>
      <c r="BZC35" s="666" t="e">
        <f>AF42*Y42*Y41</f>
        <v>#N/A</v>
      </c>
      <c r="BZD35" s="666">
        <f>100*Y42*Y41</f>
        <v>10</v>
      </c>
      <c r="BZE35" s="660"/>
      <c r="BZF35" s="661" t="s">
        <v>101</v>
      </c>
      <c r="BZG35" s="666" t="e">
        <f>AG42*Z42*Z41</f>
        <v>#N/A</v>
      </c>
      <c r="BZH35" s="666">
        <f>100*Z42*Z41</f>
        <v>10</v>
      </c>
      <c r="BZI35" s="660"/>
      <c r="BZJ35" s="661" t="s">
        <v>101</v>
      </c>
      <c r="BZK35" s="666" t="e">
        <f>AH42*AA42*AA41</f>
        <v>#N/A</v>
      </c>
      <c r="BZL35" s="666">
        <f>100*AA42*AA41</f>
        <v>10</v>
      </c>
      <c r="BZM35" s="660"/>
      <c r="BZN35" s="661" t="s">
        <v>101</v>
      </c>
      <c r="BZO35" s="666" t="e">
        <f>AI42*AB42*AB41</f>
        <v>#N/A</v>
      </c>
      <c r="BZP35" s="666">
        <f>100*G42*G41</f>
        <v>5</v>
      </c>
      <c r="BZQ35" s="660"/>
      <c r="BZR35" s="661" t="s">
        <v>101</v>
      </c>
      <c r="BZS35" s="661" t="e">
        <f>AJ42*AC42*AC41</f>
        <v>#N/A</v>
      </c>
      <c r="BZT35" s="661">
        <f>100*AC42*AC41</f>
        <v>10</v>
      </c>
      <c r="BZU35" s="299"/>
      <c r="BZV35" s="661" t="s">
        <v>101</v>
      </c>
      <c r="BZW35" s="661" t="e">
        <f>AK42*AD42*AD41</f>
        <v>#N/A</v>
      </c>
      <c r="BZX35" s="661">
        <f>100*AD42*AD41</f>
        <v>12.5</v>
      </c>
      <c r="BZY35" s="299"/>
      <c r="BZZ35" s="280"/>
      <c r="CAA35" s="281" t="str">
        <f t="shared" si="8"/>
        <v>CO2berekening</v>
      </c>
      <c r="CAB35" s="283" t="e">
        <f t="shared" si="7"/>
        <v>#N/A</v>
      </c>
      <c r="CAC35" s="284">
        <f t="shared" si="7"/>
        <v>10</v>
      </c>
    </row>
    <row r="36" spans="1:49 2022:2057" ht="21" customHeight="1" x14ac:dyDescent="0.4">
      <c r="A36" s="12"/>
      <c r="B36" s="15">
        <v>0.1</v>
      </c>
      <c r="C36" s="15">
        <v>0.11</v>
      </c>
      <c r="D36" s="15">
        <v>0.1</v>
      </c>
      <c r="E36" s="15">
        <v>0.14000000000000001</v>
      </c>
      <c r="F36" s="15">
        <v>0.15</v>
      </c>
      <c r="G36" s="15">
        <v>0.2</v>
      </c>
      <c r="H36" s="15"/>
      <c r="I36" s="15"/>
      <c r="J36" s="15"/>
      <c r="K36" s="86">
        <v>6</v>
      </c>
      <c r="L36" s="45" t="s">
        <v>102</v>
      </c>
      <c r="M36" s="42"/>
      <c r="N36" s="242"/>
      <c r="O36" s="20"/>
      <c r="P36" s="20"/>
      <c r="Q36" s="20"/>
      <c r="R36" s="20"/>
      <c r="S36" s="20"/>
      <c r="T36" s="20"/>
      <c r="U36" s="20">
        <v>6</v>
      </c>
      <c r="V36" s="128"/>
      <c r="W36" s="7">
        <f t="shared" si="6"/>
        <v>7.0000000000000007E-2</v>
      </c>
      <c r="X36" s="22">
        <f>'info weging'!B21</f>
        <v>0.05</v>
      </c>
      <c r="Y36" s="22">
        <f>'info weging'!C21</f>
        <v>7.0000000000000007E-2</v>
      </c>
      <c r="Z36" s="22">
        <f>'info weging'!D21</f>
        <v>0.13</v>
      </c>
      <c r="AA36" s="22">
        <f>'info weging'!E21</f>
        <v>0.15</v>
      </c>
      <c r="AB36" s="22">
        <f>'info weging'!F21</f>
        <v>0.15</v>
      </c>
      <c r="AC36" s="23">
        <f>'info weging'!G21</f>
        <v>0.2</v>
      </c>
      <c r="AD36" s="23">
        <f>'info weging'!H21</f>
        <v>0.125</v>
      </c>
      <c r="AE36" s="76"/>
      <c r="AF36" s="66"/>
      <c r="AG36" s="66"/>
      <c r="AH36" s="66"/>
      <c r="AI36" s="66"/>
      <c r="AJ36" s="67"/>
      <c r="AK36" s="67"/>
      <c r="AL36" s="263"/>
      <c r="AM36" s="128"/>
      <c r="AN36" s="201">
        <f>'print Basis'!P31</f>
        <v>7.0000000000000007E-2</v>
      </c>
      <c r="AO36" s="128"/>
      <c r="AP36" s="621" t="e">
        <f>AN36*(AL37*AN37)</f>
        <v>#VALUE!</v>
      </c>
      <c r="AQ36" s="5"/>
      <c r="AR36" s="779"/>
      <c r="AS36" s="20"/>
      <c r="AT36" s="20"/>
      <c r="AU36" s="20"/>
      <c r="BYT36" s="299"/>
      <c r="BYU36" s="299"/>
      <c r="BYV36" s="661"/>
      <c r="BYW36" s="661"/>
      <c r="BYX36" s="661" t="s">
        <v>103</v>
      </c>
      <c r="BYY36" s="666" t="e">
        <f>100-BYY37</f>
        <v>#N/A</v>
      </c>
      <c r="BYZ36" s="661">
        <v>0</v>
      </c>
      <c r="BZA36" s="660"/>
      <c r="BZB36" s="661" t="s">
        <v>103</v>
      </c>
      <c r="BZC36" s="666" t="e">
        <f>100-BZC37</f>
        <v>#N/A</v>
      </c>
      <c r="BZD36" s="661">
        <v>0</v>
      </c>
      <c r="BZE36" s="660"/>
      <c r="BZF36" s="661" t="s">
        <v>103</v>
      </c>
      <c r="BZG36" s="666" t="e">
        <f>100-BZG37</f>
        <v>#N/A</v>
      </c>
      <c r="BZH36" s="661">
        <v>0</v>
      </c>
      <c r="BZI36" s="660"/>
      <c r="BZJ36" s="661" t="s">
        <v>103</v>
      </c>
      <c r="BZK36" s="666" t="e">
        <f>100-BZK37</f>
        <v>#N/A</v>
      </c>
      <c r="BZL36" s="661">
        <v>0</v>
      </c>
      <c r="BZM36" s="660"/>
      <c r="BZN36" s="661" t="s">
        <v>103</v>
      </c>
      <c r="BZO36" s="666" t="e">
        <f>100-BZO37</f>
        <v>#N/A</v>
      </c>
      <c r="BZP36" s="661">
        <v>0</v>
      </c>
      <c r="BZQ36" s="660"/>
      <c r="BZR36" s="661" t="s">
        <v>103</v>
      </c>
      <c r="BZS36" s="666" t="e">
        <f>100-BZS37</f>
        <v>#N/A</v>
      </c>
      <c r="BZT36" s="661">
        <v>0</v>
      </c>
      <c r="BZU36" s="299"/>
      <c r="BZV36" s="661" t="s">
        <v>103</v>
      </c>
      <c r="BZW36" s="666" t="e">
        <f>100-BZW37</f>
        <v>#N/A</v>
      </c>
      <c r="BZX36" s="661">
        <v>0</v>
      </c>
      <c r="BZY36" s="299"/>
      <c r="BZZ36" s="280"/>
      <c r="CAA36" t="s">
        <v>321</v>
      </c>
      <c r="CAB36" s="725">
        <f>AP44</f>
        <v>0</v>
      </c>
    </row>
    <row r="37" spans="1:49 2022:2057" ht="40.200000000000003" customHeight="1" x14ac:dyDescent="0.4">
      <c r="A37" s="12"/>
      <c r="B37" s="16">
        <v>1</v>
      </c>
      <c r="C37" s="16">
        <v>1</v>
      </c>
      <c r="D37" s="16">
        <v>1</v>
      </c>
      <c r="E37" s="16">
        <v>1</v>
      </c>
      <c r="F37" s="16">
        <v>1</v>
      </c>
      <c r="G37" s="16">
        <v>1</v>
      </c>
      <c r="H37" s="16"/>
      <c r="I37" s="16"/>
      <c r="J37" s="16"/>
      <c r="K37" s="452" t="s">
        <v>60</v>
      </c>
      <c r="L37" s="549" t="s">
        <v>104</v>
      </c>
      <c r="M37" s="551" t="str">
        <f>IF(N37="","         klik hier op linkermuisknop + selecteer via het pull down menu het gerealiseerd circulaire doel","")</f>
        <v xml:space="preserve">         klik hier op linkermuisknop + selecteer via het pull down menu het gerealiseerd circulaire doel</v>
      </c>
      <c r="N37" s="210"/>
      <c r="O37" s="20"/>
      <c r="P37" s="20"/>
      <c r="Q37" s="20"/>
      <c r="R37" s="20"/>
      <c r="S37" s="20"/>
      <c r="T37" s="20"/>
      <c r="U37" s="20"/>
      <c r="V37" s="128"/>
      <c r="W37" s="7">
        <f t="shared" si="6"/>
        <v>1</v>
      </c>
      <c r="X37" s="26">
        <f>'info weging'!B22</f>
        <v>1</v>
      </c>
      <c r="Y37" s="26">
        <f>'info weging'!C22</f>
        <v>1</v>
      </c>
      <c r="Z37" s="26">
        <f>'info weging'!D22</f>
        <v>1</v>
      </c>
      <c r="AA37" s="26">
        <f>'info weging'!E22</f>
        <v>1</v>
      </c>
      <c r="AB37" s="26">
        <f>'info weging'!F22</f>
        <v>1</v>
      </c>
      <c r="AC37" s="27">
        <f>'info weging'!G22</f>
        <v>1</v>
      </c>
      <c r="AD37" s="27">
        <f>'info weging'!H22</f>
        <v>1</v>
      </c>
      <c r="AE37" s="98" t="e">
        <f>VLOOKUP(N37,'info weging'!$A$36:$H$163,2,FALSE)</f>
        <v>#N/A</v>
      </c>
      <c r="AF37" s="8" t="e">
        <f>VLOOKUP(N37,'info weging'!$A$36:$H$163,3,FALSE)</f>
        <v>#N/A</v>
      </c>
      <c r="AG37" s="8" t="e">
        <f>VLOOKUP(N37,'info weging'!$A$36:$H$163,4,FALSE)</f>
        <v>#N/A</v>
      </c>
      <c r="AH37" s="8" t="e">
        <f>VLOOKUP(N37,'info weging'!$A$36:$H$163,5,FALSE)</f>
        <v>#N/A</v>
      </c>
      <c r="AI37" s="8" t="e">
        <f>VLOOKUP(N37,'info weging'!$A$36:$H$163,6,FALSE)</f>
        <v>#N/A</v>
      </c>
      <c r="AJ37" s="9" t="e">
        <f>VLOOKUP(N37,'info weging'!$A$36:$H$163,7,FALSE)</f>
        <v>#N/A</v>
      </c>
      <c r="AK37" s="9" t="e">
        <f>VLOOKUP(N37,'info weging'!$A$36:$H$163,8,FALSE)</f>
        <v>#N/A</v>
      </c>
      <c r="AL37" s="260" t="str">
        <f>IF(COUNTA(N37)=1,AE37*$AE$15+AF37*$AF$15+AG37*$AG$15+AH37*$AH$15+AI37*$AI$15+AJ37*$AJ$15+AK37*$AK$15,"----")</f>
        <v>----</v>
      </c>
      <c r="AM37" s="128"/>
      <c r="AN37" s="127">
        <f>'print Basis'!P32</f>
        <v>1</v>
      </c>
      <c r="AO37" s="128"/>
      <c r="AP37" s="622"/>
      <c r="AQ37" s="5"/>
      <c r="AR37" s="778"/>
      <c r="AS37" s="20"/>
      <c r="AT37" s="20"/>
      <c r="AU37" s="20"/>
      <c r="BYT37" s="299"/>
      <c r="BYU37" s="299"/>
      <c r="BYV37" s="661"/>
      <c r="BYW37" s="661"/>
      <c r="BYX37" s="661" t="s">
        <v>106</v>
      </c>
      <c r="BYY37" s="666" t="e">
        <f>SUM(BYY24:BYY35)</f>
        <v>#N/A</v>
      </c>
      <c r="BYZ37" s="666">
        <f>SUM(BYZ24:BYZ36)</f>
        <v>100</v>
      </c>
      <c r="BZA37" s="660"/>
      <c r="BZB37" s="660" t="s">
        <v>106</v>
      </c>
      <c r="BZC37" s="666" t="e">
        <f>SUM(BZC24:BZC35)</f>
        <v>#N/A</v>
      </c>
      <c r="BZD37" s="666">
        <f>SUM(BZD24:BZD36)</f>
        <v>100</v>
      </c>
      <c r="BZE37" s="660"/>
      <c r="BZF37" s="660" t="s">
        <v>106</v>
      </c>
      <c r="BZG37" s="666" t="e">
        <f>SUM(BZG24:BZG35)</f>
        <v>#N/A</v>
      </c>
      <c r="BZH37" s="666">
        <f>SUM(BZH24:BZH36)</f>
        <v>100</v>
      </c>
      <c r="BZI37" s="660"/>
      <c r="BZJ37" s="660" t="s">
        <v>106</v>
      </c>
      <c r="BZK37" s="666" t="e">
        <f>SUM(BZK24:BZK35)</f>
        <v>#N/A</v>
      </c>
      <c r="BZL37" s="666">
        <f>SUM(BZL24:BZL36)</f>
        <v>100</v>
      </c>
      <c r="BZM37" s="660"/>
      <c r="BZN37" s="660" t="s">
        <v>106</v>
      </c>
      <c r="BZO37" s="666" t="e">
        <f>SUM(BZO24:BZO35)</f>
        <v>#N/A</v>
      </c>
      <c r="BZP37" s="666" t="e">
        <f>SUM(#REF!)</f>
        <v>#REF!</v>
      </c>
      <c r="BZQ37" s="660"/>
      <c r="BZR37" s="660" t="s">
        <v>106</v>
      </c>
      <c r="BZS37" s="666" t="e">
        <f>SUM(BZS24:BZS35)</f>
        <v>#N/A</v>
      </c>
      <c r="BZT37" s="666">
        <f>SUM(BZT24:BZT36)</f>
        <v>100</v>
      </c>
      <c r="BZU37" s="299"/>
      <c r="BZV37" s="660" t="s">
        <v>106</v>
      </c>
      <c r="BZW37" s="666" t="e">
        <f>SUM(BZW24:BZW35)</f>
        <v>#N/A</v>
      </c>
      <c r="BZX37" s="666">
        <f>SUM(BZX24:BZX36)</f>
        <v>100</v>
      </c>
      <c r="BZY37" s="299"/>
      <c r="BZZ37" s="280"/>
      <c r="CAA37" s="281" t="str">
        <f>BZV36</f>
        <v>rest</v>
      </c>
      <c r="CAB37" s="283" t="e">
        <f>BYY36*$BYY$15+BZC36*$BZC$15+BZG36*$BZG$15+BZK36*$BZK$15+BZO36*$BZO$15+BZS36*$BZS$15+BZW36*$BZW$15-CAB36</f>
        <v>#N/A</v>
      </c>
      <c r="CAC37" s="284">
        <f>BYZ36*$BYY$15+BZD36*$BZC$15+BZH36*$BZG$15+BZL36*$BZK$15+BZP36*$BZO$15+BZT36*$BZS$15+BZX36*$BZW$15</f>
        <v>0</v>
      </c>
    </row>
    <row r="38" spans="1:49 2022:2057" ht="21" customHeight="1" x14ac:dyDescent="0.4">
      <c r="A38" s="12"/>
      <c r="B38" s="15">
        <v>0.15</v>
      </c>
      <c r="C38" s="15">
        <v>0.18</v>
      </c>
      <c r="D38" s="15">
        <v>0.15</v>
      </c>
      <c r="E38" s="15">
        <v>0.13</v>
      </c>
      <c r="F38" s="15">
        <v>0.125</v>
      </c>
      <c r="G38" s="15">
        <v>0.14000000000000001</v>
      </c>
      <c r="H38" s="15"/>
      <c r="I38" s="15"/>
      <c r="J38" s="15"/>
      <c r="K38" s="87">
        <v>7</v>
      </c>
      <c r="L38" s="51" t="s">
        <v>354</v>
      </c>
      <c r="M38" s="52"/>
      <c r="N38" s="243"/>
      <c r="O38" s="20"/>
      <c r="P38" s="20"/>
      <c r="Q38" s="20"/>
      <c r="R38" s="20"/>
      <c r="S38" s="20"/>
      <c r="T38" s="20"/>
      <c r="U38" s="20">
        <v>7</v>
      </c>
      <c r="V38" s="128"/>
      <c r="W38" s="7">
        <f t="shared" si="6"/>
        <v>0.25</v>
      </c>
      <c r="X38" s="22">
        <f>'info weging'!B23</f>
        <v>0.05</v>
      </c>
      <c r="Y38" s="22">
        <f>'info weging'!C23</f>
        <v>0.25</v>
      </c>
      <c r="Z38" s="22">
        <f>'info weging'!D23</f>
        <v>0.2</v>
      </c>
      <c r="AA38" s="22">
        <f>'info weging'!E23</f>
        <v>0.2</v>
      </c>
      <c r="AB38" s="22">
        <f>'info weging'!F23</f>
        <v>0.2</v>
      </c>
      <c r="AC38" s="23">
        <f>'info weging'!G23</f>
        <v>0.04</v>
      </c>
      <c r="AD38" s="23">
        <f>'info weging'!H23</f>
        <v>0.125</v>
      </c>
      <c r="AE38" s="77"/>
      <c r="AF38" s="62"/>
      <c r="AG38" s="62"/>
      <c r="AH38" s="62"/>
      <c r="AI38" s="62"/>
      <c r="AJ38" s="63"/>
      <c r="AK38" s="63"/>
      <c r="AL38" s="264"/>
      <c r="AM38" s="128"/>
      <c r="AN38" s="201">
        <f>'print Basis'!P33</f>
        <v>0.25</v>
      </c>
      <c r="AO38" s="128"/>
      <c r="AP38" s="621" t="e">
        <f>AN38*(AL39*AN39+AL40*AN40)</f>
        <v>#VALUE!</v>
      </c>
      <c r="AQ38" s="5"/>
      <c r="AR38" s="779"/>
      <c r="AS38" s="20"/>
      <c r="AT38" s="20"/>
      <c r="AU38" s="20"/>
      <c r="BYT38" s="299"/>
      <c r="BYU38" s="299"/>
      <c r="BYV38" s="299"/>
      <c r="BYW38" s="299"/>
      <c r="BYX38" s="299"/>
      <c r="BYY38" s="662"/>
      <c r="BYZ38" s="662"/>
      <c r="BZA38" s="663"/>
      <c r="BZB38" s="663"/>
      <c r="BZC38" s="662"/>
      <c r="BZD38" s="662"/>
      <c r="BZE38" s="663"/>
      <c r="BZF38" s="662"/>
      <c r="BZG38" s="662"/>
      <c r="BZH38" s="662"/>
      <c r="BZI38" s="663"/>
      <c r="BZJ38" s="662"/>
      <c r="BZK38" s="662"/>
      <c r="BZL38" s="662"/>
      <c r="BZM38" s="663"/>
      <c r="BZN38" s="662"/>
      <c r="BZO38" s="662"/>
      <c r="BZP38" s="662"/>
      <c r="BZQ38" s="663"/>
      <c r="BZR38" s="299"/>
      <c r="BZS38" s="299"/>
      <c r="BZT38" s="299"/>
      <c r="BZU38" s="299"/>
      <c r="BZV38" s="299"/>
      <c r="BZW38" s="299"/>
      <c r="BZX38" s="299"/>
      <c r="BZY38" s="299"/>
      <c r="BZZ38" s="280"/>
      <c r="CAA38" s="281" t="str">
        <f>BZV37</f>
        <v>totaal</v>
      </c>
      <c r="CAB38" s="283" t="e">
        <f>CAB36+BYY37*$BYY$15+BZC37*$BZC$15+BZG37*$BZG$15+BZK37*$BZK$15+BZO37*$BZO$15+BZS37*$BZS$15+BZW37*$BZW$15</f>
        <v>#N/A</v>
      </c>
      <c r="CAC38" s="284" t="e">
        <f>BYZ37*$BYY$15+BZD37*$BZC$15+BZH37*$BZG$15+BZL37*$BZK$15+BZP37*$BZO$15+BZT37*$BZS$15+BZX37*$BZW$15</f>
        <v>#REF!</v>
      </c>
    </row>
    <row r="39" spans="1:49 2022:2057" ht="40.200000000000003" customHeight="1" x14ac:dyDescent="0.4">
      <c r="A39" s="12"/>
      <c r="B39" s="16">
        <v>0.5</v>
      </c>
      <c r="C39" s="16">
        <v>0.5</v>
      </c>
      <c r="D39" s="16">
        <v>0.5</v>
      </c>
      <c r="E39" s="16">
        <v>0.5</v>
      </c>
      <c r="F39" s="16">
        <v>0.5</v>
      </c>
      <c r="G39" s="16">
        <v>0.5</v>
      </c>
      <c r="H39" s="16"/>
      <c r="I39" s="16"/>
      <c r="J39" s="237" t="e">
        <f>BZJ53</f>
        <v>#N/A</v>
      </c>
      <c r="K39" s="452" t="s">
        <v>60</v>
      </c>
      <c r="L39" s="549" t="s">
        <v>108</v>
      </c>
      <c r="M39" s="551" t="str">
        <f>IF(N39="","         klik hier op linkermuisknop + selecteer via het pull down menu het gerealiseerd circulaire doel","")</f>
        <v xml:space="preserve">         klik hier op linkermuisknop + selecteer via het pull down menu het gerealiseerd circulaire doel</v>
      </c>
      <c r="N39" s="210"/>
      <c r="O39" s="20"/>
      <c r="P39" s="20"/>
      <c r="Q39" s="20"/>
      <c r="R39" s="20"/>
      <c r="S39" s="20"/>
      <c r="T39" s="20"/>
      <c r="U39" s="20"/>
      <c r="V39" s="128"/>
      <c r="W39" s="7">
        <f t="shared" si="6"/>
        <v>0.8</v>
      </c>
      <c r="X39" s="26">
        <f>'info weging'!B24</f>
        <v>0.5</v>
      </c>
      <c r="Y39" s="26">
        <f>'info weging'!C24</f>
        <v>0.8</v>
      </c>
      <c r="Z39" s="26">
        <f>'info weging'!D24</f>
        <v>0.5</v>
      </c>
      <c r="AA39" s="26">
        <f>'info weging'!E24</f>
        <v>0.5</v>
      </c>
      <c r="AB39" s="26">
        <f>'info weging'!F24</f>
        <v>0.5</v>
      </c>
      <c r="AC39" s="27">
        <f>'info weging'!G24</f>
        <v>0.5</v>
      </c>
      <c r="AD39" s="27">
        <f>'info weging'!H24</f>
        <v>0.8</v>
      </c>
      <c r="AE39" s="106" t="e">
        <f>VLOOKUP(N39,'info weging'!$A$36:$H$163,2,FALSE)</f>
        <v>#N/A</v>
      </c>
      <c r="AF39" s="8" t="e">
        <f>VLOOKUP(N39,'info weging'!$A$36:$H$163,3,FALSE)</f>
        <v>#N/A</v>
      </c>
      <c r="AG39" s="8" t="e">
        <f>VLOOKUP(N39,'info weging'!$A$36:$H$163,4,FALSE)</f>
        <v>#N/A</v>
      </c>
      <c r="AH39" s="8" t="e">
        <f>VLOOKUP(N39,'info weging'!$A$36:$H$163,5,FALSE)</f>
        <v>#N/A</v>
      </c>
      <c r="AI39" s="8" t="e">
        <f>VLOOKUP(N39,'info weging'!$A$36:$H$163,6,FALSE)</f>
        <v>#N/A</v>
      </c>
      <c r="AJ39" s="9" t="e">
        <f>VLOOKUP(N39,'info weging'!$A$36:$H$163,7,FALSE)</f>
        <v>#N/A</v>
      </c>
      <c r="AK39" s="9" t="e">
        <f>VLOOKUP(N39,'info weging'!$A$36:$H$163,8,FALSE)</f>
        <v>#N/A</v>
      </c>
      <c r="AL39" s="260" t="str">
        <f>IF(COUNTA(N39)=1,AE39*$AE$15+AF39*$AF$15+AG39*$AG$15+AH39*$AH$15+AI39*$AI$15+AJ39*$AJ$15+AK39*$AK$15,"----")</f>
        <v>----</v>
      </c>
      <c r="AM39" s="128"/>
      <c r="AN39" s="127">
        <f>'print Basis'!P34</f>
        <v>0.8</v>
      </c>
      <c r="AO39" s="128"/>
      <c r="AP39" s="622"/>
      <c r="AQ39" s="5"/>
      <c r="AR39" s="778" t="s">
        <v>93</v>
      </c>
      <c r="AS39" s="20"/>
      <c r="AT39" s="20"/>
      <c r="AU39" s="20"/>
      <c r="BYT39" s="299"/>
      <c r="BYU39" s="299"/>
      <c r="BYV39" s="299"/>
      <c r="BYW39" s="299"/>
      <c r="BYX39" s="299"/>
      <c r="BYY39" s="299"/>
      <c r="BYZ39" s="299"/>
      <c r="BZA39" s="299"/>
      <c r="BZB39" s="299"/>
      <c r="BZC39" s="299"/>
      <c r="BZD39" s="299"/>
      <c r="BZE39" s="299"/>
      <c r="BZF39" s="299"/>
      <c r="BZG39" s="299"/>
      <c r="BZH39" s="299"/>
      <c r="BZI39" s="299"/>
      <c r="BZJ39" s="299"/>
      <c r="BZK39" s="299"/>
      <c r="BZL39" s="299"/>
      <c r="BZM39" s="299"/>
      <c r="BZN39" s="299"/>
      <c r="BZO39" s="299"/>
      <c r="BZP39" s="299"/>
      <c r="BZQ39" s="299"/>
      <c r="BZR39" s="299"/>
      <c r="BZS39" s="299"/>
      <c r="BZT39" s="299"/>
      <c r="BZU39" s="299"/>
      <c r="BZV39" s="299"/>
      <c r="BZW39" s="299"/>
      <c r="BZX39" s="299"/>
      <c r="BZY39" s="299"/>
      <c r="BZZ39" s="280"/>
      <c r="CAA39" s="281"/>
      <c r="CAB39" s="281"/>
      <c r="CAC39" s="282"/>
    </row>
    <row r="40" spans="1:49 2022:2057" ht="40.200000000000003" customHeight="1" x14ac:dyDescent="0.4">
      <c r="A40" s="12"/>
      <c r="B40" s="16">
        <f>1-B39</f>
        <v>0.5</v>
      </c>
      <c r="C40" s="16">
        <f t="shared" ref="C40:G40" si="10">1-C39</f>
        <v>0.5</v>
      </c>
      <c r="D40" s="16">
        <f t="shared" si="10"/>
        <v>0.5</v>
      </c>
      <c r="E40" s="16">
        <f t="shared" si="10"/>
        <v>0.5</v>
      </c>
      <c r="F40" s="16">
        <f t="shared" si="10"/>
        <v>0.5</v>
      </c>
      <c r="G40" s="16">
        <f t="shared" si="10"/>
        <v>0.5</v>
      </c>
      <c r="H40" s="16"/>
      <c r="I40" s="16"/>
      <c r="J40" s="16"/>
      <c r="K40" s="452" t="s">
        <v>73</v>
      </c>
      <c r="L40" s="549" t="s">
        <v>110</v>
      </c>
      <c r="M40" s="551" t="str">
        <f>IF(N40="","         klik hier op linkermuisknop + selecteer via het pull down menu het gerealiseerd circulaire doel","")</f>
        <v xml:space="preserve">         klik hier op linkermuisknop + selecteer via het pull down menu het gerealiseerd circulaire doel</v>
      </c>
      <c r="N40" s="210"/>
      <c r="O40" s="20"/>
      <c r="P40" s="20"/>
      <c r="Q40" s="20"/>
      <c r="R40" s="20"/>
      <c r="S40" s="20"/>
      <c r="T40" s="20"/>
      <c r="U40" s="20"/>
      <c r="V40" s="128"/>
      <c r="W40" s="7">
        <f t="shared" si="6"/>
        <v>0.19999999999999996</v>
      </c>
      <c r="X40" s="26">
        <f>'info weging'!B25</f>
        <v>0.5</v>
      </c>
      <c r="Y40" s="26">
        <f>'info weging'!C25</f>
        <v>0.19999999999999996</v>
      </c>
      <c r="Z40" s="26">
        <f>'info weging'!D25</f>
        <v>0.5</v>
      </c>
      <c r="AA40" s="26">
        <f>'info weging'!E25</f>
        <v>0.5</v>
      </c>
      <c r="AB40" s="26">
        <f>'info weging'!F25</f>
        <v>0.5</v>
      </c>
      <c r="AC40" s="27">
        <f>'info weging'!G25</f>
        <v>0.5</v>
      </c>
      <c r="AD40" s="27">
        <f>'info weging'!H25</f>
        <v>0.19999999999999996</v>
      </c>
      <c r="AE40" s="106" t="e">
        <f>VLOOKUP(N40,'info weging'!$A$36:$H$163,2,FALSE)</f>
        <v>#N/A</v>
      </c>
      <c r="AF40" s="8" t="e">
        <f>VLOOKUP(N40,'info weging'!$A$36:$H$163,3,FALSE)</f>
        <v>#N/A</v>
      </c>
      <c r="AG40" s="8" t="e">
        <f>VLOOKUP(N40,'info weging'!$A$36:$H$163,4,FALSE)</f>
        <v>#N/A</v>
      </c>
      <c r="AH40" s="8" t="e">
        <f>VLOOKUP(N40,'info weging'!$A$36:$H$163,5,FALSE)</f>
        <v>#N/A</v>
      </c>
      <c r="AI40" s="8" t="e">
        <f>VLOOKUP(N40,'info weging'!$A$36:$H$163,6,FALSE)</f>
        <v>#N/A</v>
      </c>
      <c r="AJ40" s="9" t="e">
        <f>VLOOKUP(N40,'info weging'!$A$36:$H$163,7,FALSE)</f>
        <v>#N/A</v>
      </c>
      <c r="AK40" s="9" t="e">
        <f>VLOOKUP(N40,'info weging'!$A$36:$H$163,8,FALSE)</f>
        <v>#N/A</v>
      </c>
      <c r="AL40" s="260" t="str">
        <f>IF(COUNTA(N40)=1,AE40*$AE$15+AF40*$AF$15+AG40*$AG$15+AH40*$AH$15+AI40*$AI$15+AJ40*$AJ$15+AK40*$AK$15,"----")</f>
        <v>----</v>
      </c>
      <c r="AM40" s="128"/>
      <c r="AN40" s="127">
        <f>'print Basis'!P35</f>
        <v>0.19999999999999996</v>
      </c>
      <c r="AO40" s="128"/>
      <c r="AP40" s="622"/>
      <c r="AQ40" s="5"/>
      <c r="AR40" s="778"/>
      <c r="AS40" s="20"/>
      <c r="AT40" s="20"/>
      <c r="AU40" s="20"/>
      <c r="BYT40" s="299"/>
      <c r="BYU40" s="299"/>
      <c r="BYV40" s="299"/>
      <c r="BYW40" s="299"/>
      <c r="BYX40" s="299"/>
      <c r="BYY40" s="299"/>
      <c r="BYZ40" s="299"/>
      <c r="BZA40" s="299"/>
      <c r="BZB40" s="299"/>
      <c r="BZC40" s="299"/>
      <c r="BZD40" s="299"/>
      <c r="BZE40" s="299"/>
      <c r="BZF40" s="299"/>
      <c r="BZG40" s="299"/>
      <c r="BZH40" s="299"/>
      <c r="BZI40" s="299"/>
      <c r="BZJ40" s="299"/>
      <c r="BZK40" s="299"/>
      <c r="BZL40" s="299"/>
      <c r="BZM40" s="299"/>
      <c r="BZN40" s="299"/>
      <c r="BZO40" s="299"/>
      <c r="BZP40" s="299"/>
      <c r="BZQ40" s="299"/>
      <c r="BZR40" s="299"/>
      <c r="BZS40" s="299"/>
      <c r="BZT40" s="299"/>
      <c r="BZU40" s="299"/>
      <c r="BZV40" s="299"/>
      <c r="BZW40" s="299"/>
      <c r="BZX40" s="299"/>
      <c r="BZY40" s="299"/>
      <c r="BZZ40" s="280"/>
      <c r="CAA40" s="281"/>
      <c r="CAB40" s="281"/>
      <c r="CAC40" s="282"/>
    </row>
    <row r="41" spans="1:49 2022:2057" ht="21" customHeight="1" x14ac:dyDescent="0.4">
      <c r="A41" s="12"/>
      <c r="B41" s="15">
        <v>0.01</v>
      </c>
      <c r="C41" s="15">
        <v>0.05</v>
      </c>
      <c r="D41" s="15">
        <v>0.05</v>
      </c>
      <c r="E41" s="15">
        <v>0.05</v>
      </c>
      <c r="F41" s="15">
        <v>0.05</v>
      </c>
      <c r="G41" s="15">
        <v>0.05</v>
      </c>
      <c r="H41" s="15"/>
      <c r="I41" s="15"/>
      <c r="J41" s="15"/>
      <c r="K41" s="88">
        <v>8</v>
      </c>
      <c r="L41" s="46" t="s">
        <v>111</v>
      </c>
      <c r="M41" s="43"/>
      <c r="N41" s="244"/>
      <c r="O41" s="20"/>
      <c r="P41" s="20"/>
      <c r="Q41" s="20"/>
      <c r="R41" s="20"/>
      <c r="S41" s="20"/>
      <c r="T41" s="20"/>
      <c r="U41" s="20">
        <v>8</v>
      </c>
      <c r="V41" s="128"/>
      <c r="W41" s="7">
        <f t="shared" si="6"/>
        <v>0.1</v>
      </c>
      <c r="X41" s="22">
        <f>'info weging'!B26</f>
        <v>0.02</v>
      </c>
      <c r="Y41" s="22">
        <f>'info weging'!C26</f>
        <v>0.1</v>
      </c>
      <c r="Z41" s="22">
        <f>'info weging'!D26</f>
        <v>0.1</v>
      </c>
      <c r="AA41" s="22">
        <f>'info weging'!E26</f>
        <v>0.1</v>
      </c>
      <c r="AB41" s="22">
        <f>'info weging'!F26</f>
        <v>0.1</v>
      </c>
      <c r="AC41" s="23">
        <f>'info weging'!G26</f>
        <v>0.1</v>
      </c>
      <c r="AD41" s="23">
        <f>'info weging'!H26</f>
        <v>0.125</v>
      </c>
      <c r="AE41" s="78"/>
      <c r="AF41" s="64"/>
      <c r="AG41" s="64"/>
      <c r="AH41" s="64"/>
      <c r="AI41" s="64"/>
      <c r="AJ41" s="65"/>
      <c r="AK41" s="65"/>
      <c r="AL41" s="265"/>
      <c r="AM41" s="203"/>
      <c r="AN41" s="201">
        <f>'print Basis'!P36</f>
        <v>0.1</v>
      </c>
      <c r="AO41" s="128"/>
      <c r="AP41" s="621" t="e">
        <f>AN41*(AL42*AN42)</f>
        <v>#VALUE!</v>
      </c>
      <c r="AQ41" s="5"/>
      <c r="AR41" s="779"/>
      <c r="AS41" s="20"/>
      <c r="AT41" s="20"/>
      <c r="AU41" s="20"/>
      <c r="BYT41" s="299"/>
      <c r="BYU41" s="299"/>
      <c r="BYV41" s="299"/>
      <c r="BYW41" s="299"/>
      <c r="BYX41" s="299"/>
      <c r="BYY41" s="662"/>
      <c r="BYZ41" s="662"/>
      <c r="BZA41" s="663"/>
      <c r="BZB41" s="663"/>
      <c r="BZC41" s="662"/>
      <c r="BZD41" s="662"/>
      <c r="BZE41" s="663"/>
      <c r="BZF41" s="662"/>
      <c r="BZG41" s="662"/>
      <c r="BZH41" s="662"/>
      <c r="BZI41" s="663"/>
      <c r="BZJ41" s="662"/>
      <c r="BZK41" s="662"/>
      <c r="BZL41" s="662"/>
      <c r="BZM41" s="663"/>
      <c r="BZN41" s="662"/>
      <c r="BZO41" s="662"/>
      <c r="BZP41" s="662"/>
      <c r="BZQ41" s="663"/>
      <c r="BZR41" s="299"/>
      <c r="BZS41" s="299"/>
      <c r="BZT41" s="299"/>
      <c r="BZU41" s="299"/>
      <c r="BZV41" s="299"/>
      <c r="BZW41" s="299"/>
      <c r="BZX41" s="299"/>
      <c r="BZY41" s="299"/>
      <c r="BZZ41" s="280"/>
      <c r="CAA41" s="281"/>
      <c r="CAB41" s="281"/>
      <c r="CAC41" s="282"/>
    </row>
    <row r="42" spans="1:49 2022:2057" ht="40.200000000000003" customHeight="1" x14ac:dyDescent="0.4">
      <c r="A42" s="12"/>
      <c r="B42" s="16">
        <v>1</v>
      </c>
      <c r="C42" s="16">
        <v>1</v>
      </c>
      <c r="D42" s="16">
        <v>1</v>
      </c>
      <c r="E42" s="16">
        <v>1</v>
      </c>
      <c r="F42" s="16">
        <v>1</v>
      </c>
      <c r="G42" s="16">
        <v>1</v>
      </c>
      <c r="H42" s="16"/>
      <c r="I42" s="16"/>
      <c r="J42" s="16"/>
      <c r="K42" s="452" t="s">
        <v>60</v>
      </c>
      <c r="L42" s="549" t="s">
        <v>305</v>
      </c>
      <c r="M42" s="551" t="str">
        <f>IF(N42="","         klik hier op linkermuisknop + selecteer via het pull down menu het gerealiseerd circulaire doel","")</f>
        <v xml:space="preserve">         klik hier op linkermuisknop + selecteer via het pull down menu het gerealiseerd circulaire doel</v>
      </c>
      <c r="N42" s="210"/>
      <c r="O42" s="38"/>
      <c r="P42" s="38"/>
      <c r="Q42" s="38"/>
      <c r="R42" s="38"/>
      <c r="S42" s="38"/>
      <c r="T42" s="38"/>
      <c r="U42" s="38"/>
      <c r="V42" s="204"/>
      <c r="W42" s="6">
        <f t="shared" si="6"/>
        <v>1</v>
      </c>
      <c r="X42" s="28">
        <f>'info weging'!B27</f>
        <v>1</v>
      </c>
      <c r="Y42" s="28">
        <f>'info weging'!C27</f>
        <v>1</v>
      </c>
      <c r="Z42" s="28">
        <f>'info weging'!D27</f>
        <v>1</v>
      </c>
      <c r="AA42" s="28">
        <f>'info weging'!E27</f>
        <v>1</v>
      </c>
      <c r="AB42" s="28">
        <f>'info weging'!F27</f>
        <v>1</v>
      </c>
      <c r="AC42" s="29">
        <f>'info weging'!G27</f>
        <v>1</v>
      </c>
      <c r="AD42" s="29">
        <f>'info weging'!H27</f>
        <v>1</v>
      </c>
      <c r="AE42" s="105" t="e">
        <f>VLOOKUP(N42,'info weging'!$A$36:$H$163,2,FALSE)</f>
        <v>#N/A</v>
      </c>
      <c r="AF42" s="10" t="e">
        <f>VLOOKUP(N42,'info weging'!$A$36:$H$163,3,FALSE)</f>
        <v>#N/A</v>
      </c>
      <c r="AG42" s="10" t="e">
        <f>VLOOKUP(N42,'info weging'!$A$36:$H$163,4,FALSE)</f>
        <v>#N/A</v>
      </c>
      <c r="AH42" s="10" t="e">
        <f>VLOOKUP(N42,'info weging'!$A$36:$H$163,5,FALSE)</f>
        <v>#N/A</v>
      </c>
      <c r="AI42" s="10" t="e">
        <f>VLOOKUP(N42,'info weging'!$A$36:$H$163,6,FALSE)</f>
        <v>#N/A</v>
      </c>
      <c r="AJ42" s="11" t="e">
        <f>VLOOKUP(N42,'info weging'!$A$36:$H$163,7,FALSE)</f>
        <v>#N/A</v>
      </c>
      <c r="AK42" s="11" t="e">
        <f>VLOOKUP(N42,'info weging'!$A$36:$H$163,8,FALSE)</f>
        <v>#N/A</v>
      </c>
      <c r="AL42" s="266" t="str">
        <f>IF(COUNTA(N42)=1,AE42*$AE$15+AF42*$AF$15+AG42*$AG$15+AH42*$AH$15+AI42*$AI$15+AJ42*$AJ$15+AK42*$AK$15,"----")</f>
        <v>----</v>
      </c>
      <c r="AM42" s="204"/>
      <c r="AN42" s="205">
        <f>'print Basis'!P37</f>
        <v>1</v>
      </c>
      <c r="AO42" s="204"/>
      <c r="AP42" s="623"/>
      <c r="AQ42" s="5"/>
      <c r="AR42" s="778"/>
      <c r="AS42" s="20"/>
      <c r="AT42" s="20"/>
      <c r="AU42" s="20"/>
      <c r="BYT42" s="299"/>
      <c r="BYU42" s="299"/>
      <c r="BYV42" s="299"/>
      <c r="BYW42" s="299"/>
      <c r="BYX42" s="299"/>
      <c r="BYY42" s="299"/>
      <c r="BYZ42" s="299"/>
      <c r="BZA42" s="299"/>
      <c r="BZB42" s="299"/>
      <c r="BZC42" s="299"/>
      <c r="BZD42" s="299"/>
      <c r="BZE42" s="299"/>
      <c r="BZF42" s="299"/>
      <c r="BZG42" s="299"/>
      <c r="BZH42" s="299"/>
      <c r="BZI42" s="299"/>
      <c r="BZJ42" s="299"/>
      <c r="BZK42" s="299"/>
      <c r="BZL42" s="299"/>
      <c r="BZM42" s="299"/>
      <c r="BZN42" s="299"/>
      <c r="BZO42" s="299"/>
      <c r="BZP42" s="299"/>
      <c r="BZQ42" s="299"/>
      <c r="BZR42" s="299"/>
      <c r="BZS42" s="299"/>
      <c r="BZT42" s="299"/>
      <c r="BZU42" s="299"/>
      <c r="BZV42" s="299"/>
      <c r="BZW42" s="299"/>
      <c r="BZX42" s="299"/>
      <c r="BZY42" s="299"/>
      <c r="BZZ42" s="280"/>
      <c r="CAA42" s="281"/>
      <c r="CAB42" s="281"/>
      <c r="CAC42" s="282"/>
    </row>
    <row r="43" spans="1:49 2022:2057" ht="12.6" customHeight="1" x14ac:dyDescent="0.65">
      <c r="L43" s="648"/>
      <c r="N43" s="116" t="e">
        <f t="shared" ref="N43:U43" si="11">BZJ63</f>
        <v>#N/A</v>
      </c>
      <c r="O43" s="116" t="e">
        <f t="shared" si="11"/>
        <v>#N/A</v>
      </c>
      <c r="P43" s="116" t="e">
        <f t="shared" si="11"/>
        <v>#N/A</v>
      </c>
      <c r="Q43" s="116" t="e">
        <f t="shared" si="11"/>
        <v>#N/A</v>
      </c>
      <c r="R43" s="116" t="e">
        <f t="shared" si="11"/>
        <v>#N/A</v>
      </c>
      <c r="S43" s="116" t="e">
        <f t="shared" si="11"/>
        <v>#N/A</v>
      </c>
      <c r="T43" s="116" t="e">
        <f t="shared" si="11"/>
        <v>#N/A</v>
      </c>
      <c r="U43" s="116" t="e">
        <f t="shared" si="11"/>
        <v>#N/A</v>
      </c>
      <c r="V43" s="116">
        <f t="shared" ref="V43:AP43" si="12">J55</f>
        <v>0</v>
      </c>
      <c r="W43" s="116">
        <f t="shared" si="12"/>
        <v>3</v>
      </c>
      <c r="X43" s="116" t="e">
        <f t="shared" si="12"/>
        <v>#N/A</v>
      </c>
      <c r="Y43" s="116">
        <f t="shared" si="12"/>
        <v>0</v>
      </c>
      <c r="Z43" s="116" t="str">
        <f t="shared" si="12"/>
        <v>Duurzaam gebruik van bestaande objecten, materialen, grondstoffen en natuurlijke processen</v>
      </c>
      <c r="AA43" s="116">
        <f t="shared" si="12"/>
        <v>0</v>
      </c>
      <c r="AB43" s="116">
        <f t="shared" si="12"/>
        <v>0</v>
      </c>
      <c r="AC43" s="116">
        <f t="shared" si="12"/>
        <v>0</v>
      </c>
      <c r="AD43" s="116">
        <f t="shared" si="12"/>
        <v>0</v>
      </c>
      <c r="AE43" s="116">
        <f t="shared" si="12"/>
        <v>0</v>
      </c>
      <c r="AF43" s="116">
        <f t="shared" si="12"/>
        <v>0</v>
      </c>
      <c r="AG43" s="116">
        <f t="shared" si="12"/>
        <v>0</v>
      </c>
      <c r="AH43" s="116">
        <f t="shared" si="12"/>
        <v>0</v>
      </c>
      <c r="AI43" s="116">
        <f t="shared" si="12"/>
        <v>0</v>
      </c>
      <c r="AJ43" s="116">
        <f t="shared" si="12"/>
        <v>0</v>
      </c>
      <c r="AK43" s="116">
        <f t="shared" si="12"/>
        <v>0</v>
      </c>
      <c r="AL43" s="116">
        <f t="shared" si="12"/>
        <v>0</v>
      </c>
      <c r="AM43" s="116">
        <f t="shared" si="12"/>
        <v>0</v>
      </c>
      <c r="AN43" s="116">
        <f t="shared" si="12"/>
        <v>0</v>
      </c>
      <c r="AO43" s="116">
        <f t="shared" si="12"/>
        <v>0</v>
      </c>
      <c r="AP43" s="624">
        <f t="shared" si="12"/>
        <v>0</v>
      </c>
      <c r="AR43" s="358"/>
      <c r="BYT43" s="299"/>
      <c r="BYU43" s="299"/>
      <c r="BYV43" s="299"/>
      <c r="BYW43" s="299"/>
      <c r="BYX43" s="299"/>
      <c r="BYY43" s="299"/>
      <c r="BYZ43" s="299"/>
      <c r="BZA43" s="299"/>
      <c r="BZB43" s="299"/>
      <c r="BZC43" s="299"/>
      <c r="BZD43" s="299"/>
      <c r="BZE43" s="299"/>
      <c r="BZF43" s="299"/>
      <c r="BZG43" s="299"/>
      <c r="BZH43" s="299"/>
      <c r="BZI43" s="299"/>
      <c r="BZJ43" s="299"/>
      <c r="BZK43" s="299"/>
      <c r="BZL43" s="299"/>
      <c r="BZM43" s="299"/>
      <c r="BZN43" s="299"/>
      <c r="BZO43" s="299"/>
      <c r="BZP43" s="299"/>
      <c r="BZQ43" s="299"/>
      <c r="BZR43" s="299"/>
      <c r="BZS43" s="299"/>
      <c r="BZT43" s="299"/>
      <c r="BZU43" s="299"/>
      <c r="BZV43" s="299"/>
      <c r="BZW43" s="299"/>
      <c r="BZX43" s="299"/>
      <c r="BZY43" s="299"/>
      <c r="BZZ43" s="280"/>
      <c r="CAA43" s="281"/>
      <c r="CAB43" s="281"/>
      <c r="CAC43" s="282"/>
    </row>
    <row r="44" spans="1:49 2022:2057" ht="21" x14ac:dyDescent="0.4">
      <c r="J44" s="112"/>
      <c r="K44" s="716" t="s">
        <v>384</v>
      </c>
      <c r="L44" s="717"/>
      <c r="M44" s="551" t="str">
        <f>IF(N44="","         optioneel: voor innovatieve additionele maatregelen max 10 punten. Vul hier aantal BONUS punten in (max 10).","")</f>
        <v xml:space="preserve">         optioneel: voor innovatieve additionele maatregelen max 10 punten. Vul hier aantal BONUS punten in (max 10).</v>
      </c>
      <c r="N44" s="718"/>
      <c r="O44" s="20"/>
      <c r="P44" s="472"/>
      <c r="Q44" s="472"/>
      <c r="R44" s="472"/>
      <c r="S44" s="472"/>
      <c r="T44" s="472"/>
      <c r="U44" s="472"/>
      <c r="V44" s="472"/>
      <c r="W44" s="472"/>
      <c r="X44" s="472"/>
      <c r="Y44" s="472"/>
      <c r="Z44" s="472"/>
      <c r="AA44" s="472"/>
      <c r="AB44" s="472"/>
      <c r="AC44" s="472"/>
      <c r="AD44" s="472"/>
      <c r="AE44" s="472"/>
      <c r="AF44" s="472"/>
      <c r="AG44" s="472"/>
      <c r="AH44" s="472"/>
      <c r="AI44" s="472"/>
      <c r="AJ44" s="472"/>
      <c r="AK44" s="472"/>
      <c r="AL44" s="734">
        <f>N44</f>
        <v>0</v>
      </c>
      <c r="AM44" s="203"/>
      <c r="AN44" s="201">
        <f>IF(AL44&lt;10.000001,100%,"max_10")</f>
        <v>1</v>
      </c>
      <c r="AO44" s="128"/>
      <c r="AP44" s="722">
        <f>IF(AL44&lt;10.0000001,AL44,10)</f>
        <v>0</v>
      </c>
      <c r="AQ44" s="723" t="str">
        <f>IF(AP44&gt;0,"             geef korte toelichting op waardering BONUS maatregel","")</f>
        <v/>
      </c>
      <c r="AR44" s="780"/>
      <c r="BYT44" s="299"/>
      <c r="BYU44" s="299"/>
      <c r="BYV44" s="299"/>
      <c r="BYW44" s="299"/>
      <c r="BYX44" s="299"/>
      <c r="BYY44" s="299"/>
      <c r="BYZ44" s="299"/>
      <c r="BZA44" s="299"/>
      <c r="BZB44" s="299"/>
      <c r="BZC44" s="662"/>
      <c r="BZD44" s="299"/>
      <c r="BZE44" s="299"/>
      <c r="BZF44" s="299"/>
      <c r="BZG44" s="299"/>
      <c r="BZH44" s="299"/>
      <c r="BZI44" s="299"/>
      <c r="BZJ44" s="299"/>
      <c r="BZK44" s="299"/>
      <c r="BZL44" s="299"/>
      <c r="BZM44" s="299"/>
      <c r="BZN44" s="299"/>
      <c r="BZO44" s="299"/>
      <c r="BZP44" s="299"/>
      <c r="BZQ44" s="299"/>
      <c r="BZR44" s="299"/>
      <c r="BZS44" s="299"/>
      <c r="BZT44" s="299"/>
      <c r="BZU44" s="299"/>
      <c r="BZV44" s="299"/>
      <c r="BZW44" s="299"/>
      <c r="BZX44" s="299"/>
      <c r="BZY44" s="299"/>
      <c r="BZZ44" s="280"/>
      <c r="CAA44" s="281"/>
      <c r="CAB44" s="281"/>
      <c r="CAC44" s="282"/>
    </row>
    <row r="45" spans="1:49 2022:2057" ht="8.4" customHeight="1" thickBot="1" x14ac:dyDescent="0.35">
      <c r="J45" s="113"/>
      <c r="K45" s="4"/>
      <c r="L45" s="4"/>
      <c r="M45" s="4"/>
      <c r="X45" s="32" t="s">
        <v>30</v>
      </c>
      <c r="Y45" s="32" t="s">
        <v>31</v>
      </c>
      <c r="Z45" s="32" t="s">
        <v>32</v>
      </c>
      <c r="AA45" s="32" t="s">
        <v>33</v>
      </c>
      <c r="AB45" s="32" t="s">
        <v>34</v>
      </c>
      <c r="AC45" s="32" t="s">
        <v>35</v>
      </c>
      <c r="AE45" s="80" t="s">
        <v>30</v>
      </c>
      <c r="AF45" s="32" t="s">
        <v>31</v>
      </c>
      <c r="AG45" s="32" t="s">
        <v>32</v>
      </c>
      <c r="AH45" s="32" t="s">
        <v>33</v>
      </c>
      <c r="AI45" s="32" t="s">
        <v>34</v>
      </c>
      <c r="AJ45" s="32" t="s">
        <v>35</v>
      </c>
      <c r="AK45" s="32" t="s">
        <v>39</v>
      </c>
      <c r="AR45" s="37"/>
      <c r="BYT45" s="299"/>
      <c r="BYU45" s="299"/>
      <c r="BYV45" s="299"/>
      <c r="BYW45" s="299"/>
      <c r="BYX45" s="299"/>
      <c r="BYY45" s="299"/>
      <c r="BYZ45" s="299"/>
      <c r="BZA45" s="299"/>
      <c r="BZB45" s="299"/>
      <c r="BZC45" s="299"/>
      <c r="BZD45" s="299"/>
      <c r="BZE45" s="299"/>
      <c r="BZF45" s="299"/>
      <c r="BZG45" s="299"/>
      <c r="BZH45" s="299"/>
      <c r="BZI45" s="299"/>
      <c r="BZJ45" s="299"/>
      <c r="BZK45" s="299"/>
      <c r="BZL45" s="299"/>
      <c r="BZM45" s="299"/>
      <c r="BZN45" s="299"/>
      <c r="BZO45" s="299"/>
      <c r="BZP45" s="299"/>
      <c r="BZQ45" s="299"/>
      <c r="BZR45" s="299"/>
      <c r="BZS45" s="299"/>
      <c r="BZT45" s="299"/>
      <c r="BZU45" s="299"/>
      <c r="BZV45" s="299"/>
      <c r="BZW45" s="299"/>
      <c r="BZX45" s="299"/>
      <c r="BZY45" s="299"/>
      <c r="BZZ45" s="285"/>
      <c r="CAA45" s="286"/>
      <c r="CAB45" s="286"/>
      <c r="CAC45" s="287"/>
    </row>
    <row r="46" spans="1:49 2022:2057" ht="18" hidden="1" x14ac:dyDescent="0.35">
      <c r="J46" s="114"/>
      <c r="L46" s="47"/>
      <c r="AR46" s="37"/>
      <c r="BYT46" s="299"/>
      <c r="BYU46" s="299"/>
      <c r="BYV46" s="299"/>
      <c r="BYW46" s="299"/>
      <c r="BYX46" s="299"/>
      <c r="BYY46" s="299"/>
      <c r="BYZ46" s="299"/>
      <c r="BZA46" s="299"/>
      <c r="BZB46" s="299"/>
      <c r="BZC46" s="299"/>
      <c r="BZD46" s="299"/>
      <c r="BZE46" s="299"/>
      <c r="BZF46" s="299"/>
      <c r="BZG46" s="299"/>
      <c r="BZH46" s="299"/>
      <c r="BZI46" s="299"/>
      <c r="BZJ46" s="299"/>
      <c r="BZK46" s="299"/>
      <c r="BZL46" s="299"/>
      <c r="BZM46" s="299"/>
      <c r="BZN46" s="299"/>
      <c r="BZO46" s="299"/>
      <c r="BZP46" s="299"/>
      <c r="BZQ46" s="299"/>
      <c r="BZR46" s="299"/>
      <c r="BZS46" s="299"/>
      <c r="BZT46" s="299"/>
      <c r="BZU46" s="299"/>
      <c r="BZV46" s="299"/>
      <c r="BZW46" s="299"/>
      <c r="BZX46" s="299"/>
      <c r="BZY46" s="299"/>
    </row>
    <row r="47" spans="1:49 2022:2057" ht="18" hidden="1" x14ac:dyDescent="0.35">
      <c r="J47" s="114"/>
      <c r="K47" s="180">
        <f>'print Basis'!G11</f>
        <v>2</v>
      </c>
      <c r="L47" s="206" t="str">
        <f>"Samenvatting resultaten Procesmonitor Circulaire Peiler van de"&amp;" "&amp;N8</f>
        <v>Samenvatting resultaten Procesmonitor Circulaire Peiler van de verkenningsfase</v>
      </c>
      <c r="M47" s="179"/>
      <c r="N47" s="206"/>
      <c r="O47" s="179"/>
      <c r="P47" s="179"/>
      <c r="Q47" s="179"/>
      <c r="R47" s="179"/>
      <c r="S47" s="179"/>
      <c r="T47" s="179"/>
      <c r="U47" s="179"/>
      <c r="V47" s="179"/>
      <c r="W47" s="179"/>
      <c r="X47" s="179"/>
      <c r="Y47" s="179"/>
      <c r="Z47" s="179"/>
      <c r="AA47" s="179"/>
      <c r="AB47" s="179"/>
      <c r="AC47" s="179"/>
      <c r="AD47" s="179"/>
      <c r="AE47" s="179"/>
      <c r="AF47" s="179"/>
      <c r="AG47" s="179"/>
      <c r="AH47" s="179"/>
      <c r="AI47" s="179"/>
      <c r="AJ47" s="179"/>
      <c r="AK47" s="179"/>
      <c r="AL47" s="179"/>
      <c r="AM47" s="179"/>
      <c r="AN47" s="182"/>
      <c r="AO47" s="179"/>
      <c r="AP47" s="625"/>
      <c r="AR47" s="358"/>
      <c r="BYT47" s="299"/>
      <c r="BYU47" s="299"/>
      <c r="BYV47" s="299"/>
      <c r="BYW47" s="299"/>
      <c r="BYX47" s="299"/>
      <c r="BYY47" s="299"/>
      <c r="BYZ47" s="299"/>
      <c r="BZA47" s="299"/>
      <c r="BZB47" s="299"/>
      <c r="BZC47" s="299"/>
      <c r="BZD47" s="299"/>
      <c r="BZE47" s="299"/>
      <c r="BZF47" s="299"/>
      <c r="BZG47" s="299"/>
      <c r="BZH47" s="299"/>
      <c r="BZI47" s="299"/>
      <c r="BZJ47" s="299"/>
      <c r="BZK47" s="299"/>
      <c r="BZL47" s="299"/>
      <c r="BZM47" s="299"/>
      <c r="BZN47" s="299"/>
      <c r="BZO47" s="299"/>
      <c r="BZP47" s="299"/>
      <c r="BZQ47" s="299"/>
      <c r="BZR47" s="299"/>
      <c r="BZS47" s="299"/>
      <c r="BZT47" s="299"/>
      <c r="BZU47" s="299"/>
      <c r="BZV47" s="299"/>
      <c r="BZW47" s="299"/>
      <c r="BZX47" s="299"/>
      <c r="BZY47" s="299"/>
    </row>
    <row r="48" spans="1:49 2022:2057" ht="18" hidden="1" x14ac:dyDescent="0.35">
      <c r="J48" s="114"/>
      <c r="K48" s="119"/>
      <c r="L48" s="233" t="str">
        <f>'print Basis'!G8</f>
        <v>Projectnaam</v>
      </c>
      <c r="M48" s="81"/>
      <c r="N48" s="234" t="str">
        <f>'print Basis'!G10</f>
        <v>invoer Basis</v>
      </c>
      <c r="O48" s="81"/>
      <c r="P48" s="81"/>
      <c r="Q48" s="81"/>
      <c r="R48" s="81"/>
      <c r="S48" s="81"/>
      <c r="T48" s="81"/>
      <c r="U48" s="81"/>
      <c r="V48" s="81"/>
      <c r="W48" s="81"/>
      <c r="X48" s="81"/>
      <c r="Y48" s="81"/>
      <c r="Z48" s="81"/>
      <c r="AA48" s="81"/>
      <c r="AB48" s="81"/>
      <c r="AC48" s="81"/>
      <c r="AD48" s="81"/>
      <c r="AE48" s="81"/>
      <c r="AF48" s="81"/>
      <c r="AG48" s="81"/>
      <c r="AH48" s="81"/>
      <c r="AI48" s="81"/>
      <c r="AJ48" s="81"/>
      <c r="AK48" s="81"/>
      <c r="AL48" s="81"/>
      <c r="AM48" s="81"/>
      <c r="AN48" s="165"/>
      <c r="AO48" s="81"/>
      <c r="AP48" s="626"/>
      <c r="AR48" s="358"/>
      <c r="BYT48" s="299"/>
      <c r="BYU48" s="299"/>
      <c r="BYV48" s="299"/>
      <c r="BYW48" s="299"/>
      <c r="BYX48" s="299"/>
      <c r="BYY48" s="299"/>
      <c r="BYZ48" s="299"/>
      <c r="BZA48" s="299"/>
      <c r="BZB48" s="299"/>
      <c r="BZC48" s="299"/>
      <c r="BZD48" s="299"/>
      <c r="BZE48" s="299"/>
      <c r="BZF48" s="299"/>
      <c r="BZG48" s="299"/>
      <c r="BZH48" s="299"/>
      <c r="BZI48" s="299"/>
      <c r="BZJ48" s="299"/>
      <c r="BZK48" s="299"/>
      <c r="BZL48" s="299"/>
      <c r="BZM48" s="299"/>
      <c r="BZN48" s="299"/>
      <c r="BZO48" s="299"/>
      <c r="BZP48" s="299"/>
      <c r="BZQ48" s="299"/>
      <c r="BZR48" s="299"/>
      <c r="BZS48" s="299"/>
      <c r="BZT48" s="299"/>
      <c r="BZU48" s="299"/>
      <c r="BZV48" s="299"/>
      <c r="BZW48" s="299"/>
      <c r="BZX48" s="299"/>
      <c r="BZY48" s="299"/>
    </row>
    <row r="49" spans="10:44 2022:2053" ht="18" hidden="1" x14ac:dyDescent="0.35">
      <c r="J49" s="114"/>
      <c r="K49" s="30"/>
      <c r="L49" s="47" t="s">
        <v>114</v>
      </c>
      <c r="M49" s="20"/>
      <c r="N49" s="181" t="e">
        <f>ROUND('B1'!L61,0)</f>
        <v>#N/A</v>
      </c>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183"/>
      <c r="AO49" s="20"/>
      <c r="AP49" s="627"/>
      <c r="AR49" s="358"/>
      <c r="BYT49" s="299"/>
      <c r="BYU49" s="299"/>
      <c r="BYV49" s="299"/>
      <c r="BYW49" s="299"/>
      <c r="BYX49" s="299"/>
      <c r="BYY49" s="299"/>
      <c r="BYZ49" s="299"/>
      <c r="BZA49" s="299"/>
      <c r="BZB49" s="299"/>
      <c r="BZC49" s="299"/>
      <c r="BZD49" s="299"/>
      <c r="BZE49" s="299"/>
      <c r="BZF49" s="299"/>
      <c r="BZG49" s="299"/>
      <c r="BZH49" s="299"/>
      <c r="BZI49" s="299"/>
      <c r="BZJ49" s="299"/>
      <c r="BZK49" s="299"/>
      <c r="BZL49" s="299"/>
      <c r="BZM49" s="299"/>
      <c r="BZN49" s="299"/>
      <c r="BZO49" s="299"/>
      <c r="BZP49" s="299"/>
      <c r="BZQ49" s="299"/>
      <c r="BZR49" s="299"/>
      <c r="BZS49" s="299"/>
      <c r="BZT49" s="299"/>
      <c r="BZU49" s="299"/>
      <c r="BZV49" s="299"/>
      <c r="BZW49" s="299"/>
      <c r="BZX49" s="299"/>
      <c r="BZY49" s="299"/>
    </row>
    <row r="50" spans="10:44 2022:2053" hidden="1" x14ac:dyDescent="0.3">
      <c r="J50" s="114"/>
      <c r="K50" s="3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183"/>
      <c r="AO50" s="20"/>
      <c r="AP50" s="627"/>
      <c r="AR50" s="358"/>
      <c r="BYT50" s="299"/>
      <c r="BYU50" s="299"/>
      <c r="BYV50" s="299"/>
      <c r="BYW50" s="299"/>
      <c r="BYX50" s="299"/>
      <c r="BYY50" s="299"/>
      <c r="BYZ50" s="299"/>
      <c r="BZA50" s="299"/>
      <c r="BZB50" s="299"/>
      <c r="BZC50" s="299"/>
      <c r="BZD50" s="299"/>
      <c r="BZE50" s="299"/>
      <c r="BZF50" s="299"/>
      <c r="BZG50" s="299"/>
      <c r="BZH50" s="299"/>
      <c r="BZI50" s="299"/>
      <c r="BZJ50" s="299"/>
      <c r="BZK50" s="299"/>
      <c r="BZL50" s="299"/>
      <c r="BZM50" s="299"/>
      <c r="BZN50" s="299"/>
      <c r="BZO50" s="299"/>
      <c r="BZP50" s="299"/>
      <c r="BZQ50" s="299"/>
      <c r="BZR50" s="299"/>
      <c r="BZS50" s="299"/>
      <c r="BZT50" s="299"/>
      <c r="BZU50" s="299"/>
      <c r="BZV50" s="299"/>
      <c r="BZW50" s="299"/>
      <c r="BZX50" s="299"/>
      <c r="BZY50" s="299"/>
    </row>
    <row r="51" spans="10:44 2022:2053" ht="13.95" hidden="1" customHeight="1" x14ac:dyDescent="0.3">
      <c r="J51" s="114"/>
      <c r="K51" s="31"/>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184"/>
      <c r="AO51" s="38"/>
      <c r="AP51" s="628"/>
      <c r="AR51" s="358"/>
      <c r="BYT51" s="299"/>
      <c r="BYU51" s="299"/>
      <c r="BYV51" s="299"/>
      <c r="BYW51" s="299"/>
      <c r="BYX51" s="299"/>
      <c r="BYY51" s="299"/>
      <c r="BYZ51" s="299"/>
      <c r="BZA51" s="299"/>
      <c r="BZB51" s="299"/>
      <c r="BZC51" s="299"/>
      <c r="BZD51" s="299"/>
      <c r="BZE51" s="299"/>
      <c r="BZF51" s="299"/>
      <c r="BZG51" s="299"/>
      <c r="BZH51" s="299"/>
      <c r="BZI51" s="299"/>
      <c r="BZJ51" s="299"/>
      <c r="BZK51" s="299"/>
      <c r="BZL51" s="299"/>
      <c r="BZM51" s="299"/>
      <c r="BZN51" s="299"/>
      <c r="BZO51" s="299"/>
      <c r="BZP51" s="299"/>
      <c r="BZQ51" s="299"/>
      <c r="BZR51" s="299"/>
      <c r="BZS51" s="299"/>
      <c r="BZT51" s="299"/>
      <c r="BZU51" s="299"/>
      <c r="BZV51" s="299"/>
      <c r="BZW51" s="299"/>
      <c r="BZX51" s="299"/>
      <c r="BZY51" s="299"/>
    </row>
    <row r="52" spans="10:44 2022:2053" ht="18" hidden="1" x14ac:dyDescent="0.35">
      <c r="J52" s="114"/>
      <c r="K52" s="185"/>
      <c r="L52" s="473" t="s">
        <v>115</v>
      </c>
      <c r="M52" s="186"/>
      <c r="N52" s="187" t="s">
        <v>116</v>
      </c>
      <c r="O52" s="81"/>
      <c r="P52" s="81"/>
      <c r="Q52" s="81"/>
      <c r="R52" s="81"/>
      <c r="S52" s="81"/>
      <c r="T52" s="81"/>
      <c r="U52" s="81"/>
      <c r="V52" s="81"/>
      <c r="W52" s="81"/>
      <c r="X52" s="81"/>
      <c r="Y52" s="81"/>
      <c r="Z52" s="81"/>
      <c r="AA52" s="81"/>
      <c r="AB52" s="81"/>
      <c r="AC52" s="81"/>
      <c r="AD52" s="81"/>
      <c r="AE52" s="81"/>
      <c r="AF52" s="81"/>
      <c r="AG52" s="81"/>
      <c r="AH52" s="81"/>
      <c r="AI52" s="81"/>
      <c r="AJ52" s="81"/>
      <c r="AK52" s="81"/>
      <c r="AL52" s="81"/>
      <c r="AM52" s="81"/>
      <c r="AN52" s="165"/>
      <c r="AO52" s="81"/>
      <c r="AP52" s="629" t="str">
        <f>"Circulaire Peiler "&amp;'B1'!O5 &amp;"   "&amp; 'B1'!P5</f>
        <v xml:space="preserve">Circulaire Peiler    </v>
      </c>
      <c r="AR52" s="358"/>
      <c r="BYT52" s="299"/>
      <c r="BYU52" s="299"/>
      <c r="BYV52" s="299"/>
      <c r="BYW52" s="299"/>
      <c r="BYX52" s="299"/>
      <c r="BYY52" s="299"/>
      <c r="BYZ52" s="299"/>
      <c r="BZA52" s="299"/>
      <c r="BZB52" s="299"/>
      <c r="BZC52" s="299"/>
      <c r="BZD52" s="299"/>
      <c r="BZE52" s="299"/>
      <c r="BZF52" s="299"/>
      <c r="BZG52" s="299"/>
      <c r="BZH52" s="299"/>
      <c r="BZI52" s="664" t="s">
        <v>117</v>
      </c>
      <c r="BZJ52" s="664"/>
      <c r="BZK52" s="664">
        <v>1</v>
      </c>
      <c r="BZL52" s="664">
        <v>2</v>
      </c>
      <c r="BZM52" s="664">
        <v>3</v>
      </c>
      <c r="BZN52" s="664">
        <v>4</v>
      </c>
      <c r="BZO52" s="664">
        <v>5</v>
      </c>
      <c r="BZP52" s="664">
        <v>6</v>
      </c>
      <c r="BZQ52" s="664">
        <v>7</v>
      </c>
      <c r="BZR52" s="299"/>
      <c r="BZS52" s="299"/>
      <c r="BZT52" s="299"/>
      <c r="BZU52" s="299"/>
      <c r="BZV52" s="299"/>
      <c r="BZW52" s="299"/>
      <c r="BZX52" s="299"/>
      <c r="BZY52" s="299"/>
    </row>
    <row r="53" spans="10:44 2022:2053" ht="18" hidden="1" customHeight="1" x14ac:dyDescent="0.35">
      <c r="J53" s="114"/>
      <c r="K53" s="563">
        <v>1</v>
      </c>
      <c r="L53" s="82" t="e">
        <f t="shared" ref="L53:L60" si="13">BZJ54</f>
        <v>#N/A</v>
      </c>
      <c r="M53" s="48"/>
      <c r="N53" s="47" t="str">
        <f t="shared" ref="N53:N60" si="14">BZI54</f>
        <v>Voorkómen: niet doen wat echt niet hoeft</v>
      </c>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183"/>
      <c r="AO53" s="20"/>
      <c r="AP53" s="627"/>
      <c r="AR53" s="37"/>
      <c r="BYT53" s="299"/>
      <c r="BYU53" s="299"/>
      <c r="BYV53" s="299"/>
      <c r="BYW53" s="299"/>
      <c r="BYX53" s="299"/>
      <c r="BYY53" s="299"/>
      <c r="BYZ53" s="299"/>
      <c r="BZA53" s="299"/>
      <c r="BZB53" s="299"/>
      <c r="BZC53" s="299"/>
      <c r="BZD53" s="299"/>
      <c r="BZE53" s="299"/>
      <c r="BZF53" s="299"/>
      <c r="BZG53" s="299"/>
      <c r="BZH53" s="299"/>
      <c r="BZI53" s="299"/>
      <c r="BZJ53" s="667" t="e">
        <f>""&amp;N47&amp;" CPI="&amp;BZJ63&amp;" (CPI2030=100)"</f>
        <v>#N/A</v>
      </c>
      <c r="BZK53" s="667" t="e">
        <f>"circulair peil verkenningsfase CP="&amp;BZJ63&amp;" (CP2030=100); indic. KRW-oost"</f>
        <v>#N/A</v>
      </c>
      <c r="BZL53" s="667" t="e">
        <f>"verkenningsfase scoort: "&amp;BZL63&amp;"% van de circulaire doelstelling 2030"</f>
        <v>#N/A</v>
      </c>
      <c r="BZM53" s="667" t="e">
        <f>"planuitwerkingsfase scoort: "&amp;BZM63&amp;"% van de circulaire doelstelling 2030"</f>
        <v>#N/A</v>
      </c>
      <c r="BZN53" s="667" t="e">
        <f>"contractvormingsfase scoort: "&amp;BZN63&amp;"% van de circadlaire doelstelling 2030"</f>
        <v>#N/A</v>
      </c>
      <c r="BZO53" s="667" t="e">
        <f>"realisatiefase scoort: "&amp;BZO63&amp;"% ahan de circulaire doelstelling 2030"</f>
        <v>#N/A</v>
      </c>
      <c r="BZP53" s="667" t="e">
        <f>"beheer/onderhoudsfase scoort: "&amp;BZP63&amp;"% van de circulaire doelstelling 2030"</f>
        <v>#N/A</v>
      </c>
      <c r="BZQ53" s="667" t="s">
        <v>118</v>
      </c>
      <c r="BZR53" s="299"/>
      <c r="BZS53" s="299"/>
      <c r="BZT53" s="299"/>
      <c r="BZU53" s="299"/>
      <c r="BZV53" s="299"/>
      <c r="BZW53" s="299"/>
      <c r="BZX53" s="299"/>
      <c r="BZY53" s="299"/>
    </row>
    <row r="54" spans="10:44 2022:2053" ht="18" hidden="1" x14ac:dyDescent="0.35">
      <c r="J54" s="114"/>
      <c r="K54" s="270">
        <v>2</v>
      </c>
      <c r="L54" s="82" t="e">
        <f t="shared" si="13"/>
        <v>#N/A</v>
      </c>
      <c r="M54" s="48"/>
      <c r="N54" s="47" t="str">
        <f t="shared" si="14"/>
        <v>Verleng de levensduur van bestaande objecten of componenten</v>
      </c>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183"/>
      <c r="AO54" s="20"/>
      <c r="AP54" s="627"/>
      <c r="AR54" s="37"/>
      <c r="BYT54" s="299"/>
      <c r="BYU54" s="299"/>
      <c r="BYV54" s="299"/>
      <c r="BYW54" s="299"/>
      <c r="BYX54" s="299"/>
      <c r="BYY54" s="299"/>
      <c r="BYZ54" s="299"/>
      <c r="BZA54" s="299"/>
      <c r="BZB54" s="299"/>
      <c r="BZC54" s="299"/>
      <c r="BZD54" s="299"/>
      <c r="BZE54" s="299"/>
      <c r="BZF54" s="299"/>
      <c r="BZG54" s="299"/>
      <c r="BZH54" s="299"/>
      <c r="BZI54" s="668" t="str">
        <f>L23</f>
        <v>Voorkómen: niet doen wat echt niet hoeft</v>
      </c>
      <c r="BZJ54" s="669" t="e">
        <f t="shared" ref="BZJ54:BZJ62" si="15">BZK54*$BZK$64+BZL54*$BZL$64+BZM54*$BZM$64+BZN54*$BZN$64+BZO54*$BZO$64+BZP54*$BZP$64+$BZQ$64*BZQ54</f>
        <v>#N/A</v>
      </c>
      <c r="BZK54" s="669" t="e">
        <f>BYY24</f>
        <v>#N/A</v>
      </c>
      <c r="BZL54" s="669" t="e">
        <f>BZC24</f>
        <v>#N/A</v>
      </c>
      <c r="BZM54" s="669" t="e">
        <f>BZG24</f>
        <v>#N/A</v>
      </c>
      <c r="BZN54" s="669" t="e">
        <f>BZK24</f>
        <v>#N/A</v>
      </c>
      <c r="BZO54" s="669" t="e">
        <f>BZO24</f>
        <v>#N/A</v>
      </c>
      <c r="BZP54" s="669" t="e">
        <f>BZS24</f>
        <v>#N/A</v>
      </c>
      <c r="BZQ54" s="669" t="e">
        <f>BZW24</f>
        <v>#N/A</v>
      </c>
      <c r="BZR54" s="299"/>
      <c r="BZS54" s="299"/>
      <c r="BZT54" s="299"/>
      <c r="BZU54" s="299"/>
      <c r="BZV54" s="299"/>
      <c r="BZW54" s="299"/>
      <c r="BZX54" s="299"/>
      <c r="BZY54" s="299"/>
    </row>
    <row r="55" spans="10:44 2022:2053" ht="18" hidden="1" x14ac:dyDescent="0.35">
      <c r="J55" s="115"/>
      <c r="K55" s="171">
        <v>3</v>
      </c>
      <c r="L55" s="82" t="e">
        <f t="shared" si="13"/>
        <v>#N/A</v>
      </c>
      <c r="M55" s="48"/>
      <c r="N55" s="47" t="str">
        <f t="shared" si="14"/>
        <v>Duurzaam gebruik van bestaande objecten, materialen, grondstoffen en natuurlijke processen</v>
      </c>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183"/>
      <c r="AO55" s="20"/>
      <c r="AP55" s="627"/>
      <c r="AR55" s="37"/>
      <c r="BYT55" s="299"/>
      <c r="BYU55" s="299"/>
      <c r="BYV55" s="299"/>
      <c r="BYW55" s="299"/>
      <c r="BYX55" s="299"/>
      <c r="BYY55" s="299"/>
      <c r="BYZ55" s="299"/>
      <c r="BZA55" s="299"/>
      <c r="BZB55" s="299"/>
      <c r="BZC55" s="299"/>
      <c r="BZD55" s="299"/>
      <c r="BZE55" s="299"/>
      <c r="BZF55" s="299"/>
      <c r="BZG55" s="299"/>
      <c r="BZH55" s="299"/>
      <c r="BZI55" s="668" t="str">
        <f>L25</f>
        <v>Verleng de levensduur van bestaande objecten of componenten</v>
      </c>
      <c r="BZJ55" s="669" t="e">
        <f t="shared" si="15"/>
        <v>#N/A</v>
      </c>
      <c r="BZK55" s="669" t="e">
        <f>BYY25</f>
        <v>#N/A</v>
      </c>
      <c r="BZL55" s="669" t="e">
        <f>BZC25</f>
        <v>#N/A</v>
      </c>
      <c r="BZM55" s="669" t="e">
        <f>BZG25</f>
        <v>#N/A</v>
      </c>
      <c r="BZN55" s="669" t="e">
        <f>BZK25</f>
        <v>#N/A</v>
      </c>
      <c r="BZO55" s="669" t="e">
        <f>BZO25</f>
        <v>#N/A</v>
      </c>
      <c r="BZP55" s="669" t="e">
        <f>BZS25</f>
        <v>#N/A</v>
      </c>
      <c r="BZQ55" s="669" t="e">
        <f>BZW25</f>
        <v>#N/A</v>
      </c>
      <c r="BZR55" s="299"/>
      <c r="BZS55" s="299"/>
      <c r="BZT55" s="299"/>
      <c r="BZU55" s="299"/>
      <c r="BZV55" s="299"/>
      <c r="BZW55" s="299"/>
      <c r="BZX55" s="299"/>
      <c r="BZY55" s="299"/>
    </row>
    <row r="56" spans="10:44 2022:2053" ht="18" hidden="1" x14ac:dyDescent="0.35">
      <c r="J56" s="12"/>
      <c r="K56" s="172">
        <v>4</v>
      </c>
      <c r="L56" s="82" t="e">
        <f t="shared" si="13"/>
        <v>#N/A</v>
      </c>
      <c r="M56" s="48"/>
      <c r="N56" s="47" t="str">
        <f t="shared" si="14"/>
        <v>Ontwerp voor meerdere levenscycli</v>
      </c>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183"/>
      <c r="AO56" s="20"/>
      <c r="AP56" s="627"/>
      <c r="AR56" s="37"/>
      <c r="BYT56" s="299"/>
      <c r="BYU56" s="299"/>
      <c r="BYV56" s="299"/>
      <c r="BYW56" s="299"/>
      <c r="BYX56" s="299"/>
      <c r="BYY56" s="299"/>
      <c r="BYZ56" s="299"/>
      <c r="BZA56" s="299"/>
      <c r="BZB56" s="299"/>
      <c r="BZC56" s="299"/>
      <c r="BZD56" s="299"/>
      <c r="BZE56" s="299"/>
      <c r="BZF56" s="299"/>
      <c r="BZG56" s="299"/>
      <c r="BZH56" s="299"/>
      <c r="BZI56" s="668" t="str">
        <f>L27</f>
        <v>Duurzaam gebruik van bestaande objecten, materialen, grondstoffen en natuurlijke processen</v>
      </c>
      <c r="BZJ56" s="669" t="e">
        <f t="shared" si="15"/>
        <v>#N/A</v>
      </c>
      <c r="BZK56" s="669" t="e">
        <f>SUM(BYY26:BYY28)</f>
        <v>#N/A</v>
      </c>
      <c r="BZL56" s="669" t="e">
        <f>SUM(BZC26:BZC28)</f>
        <v>#N/A</v>
      </c>
      <c r="BZM56" s="669" t="e">
        <f>SUM(BZG26:BZG28)</f>
        <v>#N/A</v>
      </c>
      <c r="BZN56" s="669" t="e">
        <f>SUM(BZK26:BZK28)</f>
        <v>#N/A</v>
      </c>
      <c r="BZO56" s="669" t="e">
        <f>SUM(BZO26:BZO28)</f>
        <v>#N/A</v>
      </c>
      <c r="BZP56" s="669" t="e">
        <f>SUM(BZS26:BZS28)</f>
        <v>#N/A</v>
      </c>
      <c r="BZQ56" s="669" t="e">
        <f>SUM(BZW26:BZW28)</f>
        <v>#N/A</v>
      </c>
      <c r="BZR56" s="299"/>
      <c r="BZS56" s="299"/>
      <c r="BZT56" s="299"/>
      <c r="BZU56" s="299"/>
      <c r="BZV56" s="299"/>
      <c r="BZW56" s="299"/>
      <c r="BZX56" s="299"/>
      <c r="BZY56" s="299"/>
    </row>
    <row r="57" spans="10:44 2022:2053" ht="18" hidden="1" x14ac:dyDescent="0.35">
      <c r="K57" s="269">
        <v>5</v>
      </c>
      <c r="L57" s="82" t="e">
        <f t="shared" si="13"/>
        <v>#N/A</v>
      </c>
      <c r="M57" s="48"/>
      <c r="N57" s="47" t="str">
        <f t="shared" si="14"/>
        <v>Ontwerp toekomstbestendig</v>
      </c>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183"/>
      <c r="AO57" s="20"/>
      <c r="AP57" s="627"/>
      <c r="AR57" s="37"/>
      <c r="BYT57" s="299"/>
      <c r="BYU57" s="299"/>
      <c r="BYV57" s="299"/>
      <c r="BYW57" s="299"/>
      <c r="BYX57" s="299"/>
      <c r="BYY57" s="299"/>
      <c r="BYZ57" s="299"/>
      <c r="BZA57" s="299"/>
      <c r="BZB57" s="299"/>
      <c r="BZC57" s="299"/>
      <c r="BZD57" s="299"/>
      <c r="BZE57" s="299"/>
      <c r="BZF57" s="299"/>
      <c r="BZG57" s="299"/>
      <c r="BZH57" s="299"/>
      <c r="BZI57" s="668" t="str">
        <f>L31</f>
        <v>Ontwerp voor meerdere levenscycli</v>
      </c>
      <c r="BZJ57" s="669" t="e">
        <f t="shared" si="15"/>
        <v>#N/A</v>
      </c>
      <c r="BZK57" s="669" t="e">
        <f>BYY29+BYY30</f>
        <v>#N/A</v>
      </c>
      <c r="BZL57" s="669" t="e">
        <f>BZC29+BZC30</f>
        <v>#N/A</v>
      </c>
      <c r="BZM57" s="669" t="e">
        <f>BZG29+BZG30</f>
        <v>#N/A</v>
      </c>
      <c r="BZN57" s="669" t="e">
        <f>BZK29+BZK30</f>
        <v>#N/A</v>
      </c>
      <c r="BZO57" s="669" t="e">
        <f>BZO29+BZO30</f>
        <v>#N/A</v>
      </c>
      <c r="BZP57" s="669" t="e">
        <f>BZS29+BZS30</f>
        <v>#N/A</v>
      </c>
      <c r="BZQ57" s="669" t="e">
        <f>BZW29+BZW30</f>
        <v>#N/A</v>
      </c>
      <c r="BZR57" s="299"/>
      <c r="BZS57" s="299"/>
      <c r="BZT57" s="299"/>
      <c r="BZU57" s="299"/>
      <c r="BZV57" s="299"/>
      <c r="BZW57" s="299"/>
      <c r="BZX57" s="299"/>
      <c r="BZY57" s="299"/>
    </row>
    <row r="58" spans="10:44 2022:2053" ht="18" hidden="1" x14ac:dyDescent="0.35">
      <c r="K58" s="173">
        <v>6</v>
      </c>
      <c r="L58" s="82" t="e">
        <f t="shared" si="13"/>
        <v>#N/A</v>
      </c>
      <c r="M58" s="48"/>
      <c r="N58" s="47" t="str">
        <f t="shared" si="14"/>
        <v xml:space="preserve">Ontwerp voor optimaal beheer en onderhoud </v>
      </c>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183"/>
      <c r="AO58" s="20"/>
      <c r="AP58" s="627"/>
      <c r="AR58" s="37"/>
      <c r="BYT58" s="299"/>
      <c r="BYU58" s="299"/>
      <c r="BYV58" s="299"/>
      <c r="BYW58" s="299"/>
      <c r="BYX58" s="299"/>
      <c r="BYY58" s="299"/>
      <c r="BYZ58" s="299"/>
      <c r="BZA58" s="299"/>
      <c r="BZB58" s="299"/>
      <c r="BZC58" s="299"/>
      <c r="BZD58" s="299"/>
      <c r="BZE58" s="299"/>
      <c r="BZF58" s="299"/>
      <c r="BZG58" s="299"/>
      <c r="BZH58" s="299"/>
      <c r="BZI58" s="668" t="str">
        <f>L34</f>
        <v>Ontwerp toekomstbestendig</v>
      </c>
      <c r="BZJ58" s="669" t="e">
        <f t="shared" si="15"/>
        <v>#N/A</v>
      </c>
      <c r="BZK58" s="669" t="e">
        <f>BYY31</f>
        <v>#N/A</v>
      </c>
      <c r="BZL58" s="669" t="e">
        <f>BZC31</f>
        <v>#N/A</v>
      </c>
      <c r="BZM58" s="669" t="e">
        <f>BZG31</f>
        <v>#N/A</v>
      </c>
      <c r="BZN58" s="669" t="e">
        <f>BZK31</f>
        <v>#N/A</v>
      </c>
      <c r="BZO58" s="669" t="e">
        <f>BZO31</f>
        <v>#N/A</v>
      </c>
      <c r="BZP58" s="669" t="e">
        <f>BZS31</f>
        <v>#N/A</v>
      </c>
      <c r="BZQ58" s="669" t="e">
        <f>BZW31</f>
        <v>#N/A</v>
      </c>
      <c r="BZR58" s="299"/>
      <c r="BZS58" s="299"/>
      <c r="BZT58" s="299"/>
      <c r="BZU58" s="299"/>
      <c r="BZV58" s="299"/>
      <c r="BZW58" s="299"/>
      <c r="BZX58" s="299"/>
      <c r="BZY58" s="299"/>
    </row>
    <row r="59" spans="10:44 2022:2053" ht="18" hidden="1" x14ac:dyDescent="0.35">
      <c r="K59" s="174">
        <v>7</v>
      </c>
      <c r="L59" s="82" t="e">
        <f t="shared" si="13"/>
        <v>#N/A</v>
      </c>
      <c r="M59" s="48"/>
      <c r="N59" s="47" t="str">
        <f t="shared" si="14"/>
        <v>Duurzaam materiaalgebruik (hoeveel x milieubelasting)</v>
      </c>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183"/>
      <c r="AO59" s="20"/>
      <c r="AP59" s="627"/>
      <c r="AR59" s="37"/>
      <c r="BYT59" s="299"/>
      <c r="BYU59" s="299"/>
      <c r="BYV59" s="299"/>
      <c r="BYW59" s="299"/>
      <c r="BYX59" s="299"/>
      <c r="BYY59" s="299"/>
      <c r="BYZ59" s="299"/>
      <c r="BZA59" s="299"/>
      <c r="BZB59" s="299"/>
      <c r="BZC59" s="299"/>
      <c r="BZD59" s="299"/>
      <c r="BZE59" s="299"/>
      <c r="BZF59" s="299"/>
      <c r="BZG59" s="299"/>
      <c r="BZH59" s="299"/>
      <c r="BZI59" s="668" t="str">
        <f>L36</f>
        <v xml:space="preserve">Ontwerp voor optimaal beheer en onderhoud </v>
      </c>
      <c r="BZJ59" s="669" t="e">
        <f t="shared" si="15"/>
        <v>#N/A</v>
      </c>
      <c r="BZK59" s="669" t="e">
        <f>BYY32</f>
        <v>#N/A</v>
      </c>
      <c r="BZL59" s="669" t="e">
        <f>BZC32</f>
        <v>#N/A</v>
      </c>
      <c r="BZM59" s="669" t="e">
        <f>BZG32</f>
        <v>#N/A</v>
      </c>
      <c r="BZN59" s="669" t="e">
        <f>BZK32</f>
        <v>#N/A</v>
      </c>
      <c r="BZO59" s="669" t="e">
        <f>BZO32</f>
        <v>#N/A</v>
      </c>
      <c r="BZP59" s="669" t="e">
        <f>BZS32</f>
        <v>#N/A</v>
      </c>
      <c r="BZQ59" s="669" t="e">
        <f>BZW32</f>
        <v>#N/A</v>
      </c>
      <c r="BZR59" s="299"/>
      <c r="BZS59" s="299"/>
      <c r="BZT59" s="299"/>
      <c r="BZU59" s="299"/>
      <c r="BZV59" s="299"/>
      <c r="BZW59" s="299"/>
      <c r="BZX59" s="299"/>
      <c r="BZY59" s="299"/>
    </row>
    <row r="60" spans="10:44 2022:2053" ht="18" hidden="1" x14ac:dyDescent="0.35">
      <c r="K60" s="268">
        <v>8</v>
      </c>
      <c r="L60" s="82" t="e">
        <f t="shared" si="13"/>
        <v>#N/A</v>
      </c>
      <c r="M60" s="53"/>
      <c r="N60" s="47" t="str">
        <f t="shared" si="14"/>
        <v>Ontwerp voor minimaal grondstof- en energiegebruik in de aanleg/gebruiksfase</v>
      </c>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183"/>
      <c r="AO60" s="20"/>
      <c r="AP60" s="627"/>
      <c r="AR60" s="37"/>
      <c r="BYT60" s="299"/>
      <c r="BYU60" s="299"/>
      <c r="BYV60" s="299"/>
      <c r="BYW60" s="299"/>
      <c r="BYX60" s="299"/>
      <c r="BYY60" s="299"/>
      <c r="BYZ60" s="299"/>
      <c r="BZA60" s="299"/>
      <c r="BZB60" s="299"/>
      <c r="BZC60" s="299"/>
      <c r="BZD60" s="299"/>
      <c r="BZE60" s="299"/>
      <c r="BZF60" s="299"/>
      <c r="BZG60" s="299"/>
      <c r="BZH60" s="299"/>
      <c r="BZI60" s="668" t="str">
        <f>L38</f>
        <v>Duurzaam materiaalgebruik (hoeveel x milieubelasting)</v>
      </c>
      <c r="BZJ60" s="669" t="e">
        <f t="shared" si="15"/>
        <v>#N/A</v>
      </c>
      <c r="BZK60" s="669" t="e">
        <f>SUM(BYY33:BYY34)</f>
        <v>#N/A</v>
      </c>
      <c r="BZL60" s="669" t="e">
        <f>SUM(BZC33:BZC34)</f>
        <v>#N/A</v>
      </c>
      <c r="BZM60" s="669" t="e">
        <f>SUM(BZG33:BZG34)</f>
        <v>#N/A</v>
      </c>
      <c r="BZN60" s="669" t="e">
        <f>SUM(BZK33:BZK34)</f>
        <v>#N/A</v>
      </c>
      <c r="BZO60" s="669" t="e">
        <f>SUM(BZO33:BZO34)</f>
        <v>#N/A</v>
      </c>
      <c r="BZP60" s="669" t="e">
        <f>SUM(BZS33:BZS34)</f>
        <v>#N/A</v>
      </c>
      <c r="BZQ60" s="669" t="e">
        <f>SUM(BZW33:BZW34)</f>
        <v>#N/A</v>
      </c>
      <c r="BZR60" s="299"/>
      <c r="BZS60" s="299"/>
      <c r="BZT60" s="299"/>
      <c r="BZU60" s="299"/>
      <c r="BZV60" s="299"/>
      <c r="BZW60" s="299"/>
      <c r="BZX60" s="299"/>
      <c r="BZY60" s="299"/>
    </row>
    <row r="61" spans="10:44 2022:2053" ht="25.8" hidden="1" x14ac:dyDescent="0.5">
      <c r="K61" s="175" t="s">
        <v>48</v>
      </c>
      <c r="L61" s="83" t="e">
        <f>BZJ63</f>
        <v>#N/A</v>
      </c>
      <c r="M61" s="49" t="e">
        <f>BZJ63</f>
        <v>#N/A</v>
      </c>
      <c r="N61" s="50" t="s">
        <v>119</v>
      </c>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183"/>
      <c r="AO61" s="20"/>
      <c r="AP61" s="627"/>
      <c r="AR61" s="37"/>
      <c r="BYT61" s="299"/>
      <c r="BYU61" s="299"/>
      <c r="BYV61" s="299"/>
      <c r="BYW61" s="299"/>
      <c r="BYX61" s="299"/>
      <c r="BYY61" s="299"/>
      <c r="BYZ61" s="299"/>
      <c r="BZA61" s="299"/>
      <c r="BZB61" s="299"/>
      <c r="BZC61" s="299"/>
      <c r="BZD61" s="299"/>
      <c r="BZE61" s="299"/>
      <c r="BZF61" s="299"/>
      <c r="BZG61" s="299"/>
      <c r="BZH61" s="299"/>
      <c r="BZI61" s="668" t="str">
        <f>L41</f>
        <v>Ontwerp voor minimaal grondstof- en energiegebruik in de aanleg/gebruiksfase</v>
      </c>
      <c r="BZJ61" s="669" t="e">
        <f t="shared" si="15"/>
        <v>#N/A</v>
      </c>
      <c r="BZK61" s="669" t="e">
        <f>BYY35</f>
        <v>#N/A</v>
      </c>
      <c r="BZL61" s="669" t="e">
        <f>BZC35</f>
        <v>#N/A</v>
      </c>
      <c r="BZM61" s="669" t="e">
        <f>BZG35</f>
        <v>#N/A</v>
      </c>
      <c r="BZN61" s="669" t="e">
        <f>BZK35</f>
        <v>#N/A</v>
      </c>
      <c r="BZO61" s="669" t="e">
        <f>BZO35</f>
        <v>#N/A</v>
      </c>
      <c r="BZP61" s="669" t="e">
        <f>BZS35</f>
        <v>#N/A</v>
      </c>
      <c r="BZQ61" s="669" t="e">
        <f>BZW35</f>
        <v>#N/A</v>
      </c>
      <c r="BZR61" s="299"/>
      <c r="BZS61" s="299"/>
      <c r="BZT61" s="299"/>
      <c r="BZU61" s="299"/>
      <c r="BZV61" s="299"/>
      <c r="BZW61" s="299"/>
      <c r="BZX61" s="299"/>
      <c r="BZY61" s="299"/>
    </row>
    <row r="62" spans="10:44 2022:2053" ht="21" hidden="1" x14ac:dyDescent="0.4">
      <c r="K62" s="176"/>
      <c r="L62" s="177" t="e">
        <f>BZJ62</f>
        <v>#N/A</v>
      </c>
      <c r="M62" s="178" t="e">
        <f>BZJ62</f>
        <v>#N/A</v>
      </c>
      <c r="N62" s="188" t="s">
        <v>120</v>
      </c>
      <c r="O62" s="189"/>
      <c r="P62" s="189"/>
      <c r="Q62" s="189"/>
      <c r="R62" s="189"/>
      <c r="S62" s="189"/>
      <c r="T62" s="189"/>
      <c r="U62" s="38"/>
      <c r="V62" s="38"/>
      <c r="W62" s="38"/>
      <c r="X62" s="38"/>
      <c r="Y62" s="38"/>
      <c r="Z62" s="38"/>
      <c r="AA62" s="38"/>
      <c r="AB62" s="38"/>
      <c r="AC62" s="38"/>
      <c r="AD62" s="38"/>
      <c r="AE62" s="38"/>
      <c r="AF62" s="38"/>
      <c r="AG62" s="38"/>
      <c r="AH62" s="38"/>
      <c r="AI62" s="38"/>
      <c r="AJ62" s="38"/>
      <c r="AK62" s="38"/>
      <c r="AL62" s="38"/>
      <c r="AM62" s="38"/>
      <c r="AN62" s="184"/>
      <c r="AO62" s="38"/>
      <c r="AP62" s="628"/>
      <c r="AR62" s="37"/>
      <c r="BYT62" s="299"/>
      <c r="BYU62" s="299"/>
      <c r="BYV62" s="299"/>
      <c r="BYW62" s="299"/>
      <c r="BYX62" s="299"/>
      <c r="BYY62" s="299"/>
      <c r="BYZ62" s="299"/>
      <c r="BZA62" s="299"/>
      <c r="BZB62" s="299"/>
      <c r="BZC62" s="299"/>
      <c r="BZD62" s="299"/>
      <c r="BZE62" s="299"/>
      <c r="BZF62" s="299"/>
      <c r="BZG62" s="299"/>
      <c r="BZH62" s="299"/>
      <c r="BZI62" s="668" t="s">
        <v>121</v>
      </c>
      <c r="BZJ62" s="669" t="e">
        <f t="shared" si="15"/>
        <v>#N/A</v>
      </c>
      <c r="BZK62" s="669" t="e">
        <f>100-BZK63</f>
        <v>#N/A</v>
      </c>
      <c r="BZL62" s="669" t="e">
        <f>100-BZL63</f>
        <v>#N/A</v>
      </c>
      <c r="BZM62" s="669" t="e">
        <f t="shared" ref="BZM62:BZQ62" si="16">100-BZM63</f>
        <v>#N/A</v>
      </c>
      <c r="BZN62" s="669" t="e">
        <f t="shared" si="16"/>
        <v>#N/A</v>
      </c>
      <c r="BZO62" s="669" t="e">
        <f t="shared" si="16"/>
        <v>#N/A</v>
      </c>
      <c r="BZP62" s="669" t="e">
        <f t="shared" si="16"/>
        <v>#N/A</v>
      </c>
      <c r="BZQ62" s="669" t="e">
        <f t="shared" si="16"/>
        <v>#N/A</v>
      </c>
      <c r="BZR62" s="299"/>
      <c r="BZS62" s="299"/>
      <c r="BZT62" s="299"/>
      <c r="BZU62" s="299"/>
      <c r="BZV62" s="299"/>
      <c r="BZW62" s="299"/>
      <c r="BZX62" s="299"/>
      <c r="BZY62" s="299"/>
    </row>
    <row r="63" spans="10:44 2022:2053" ht="33.6" customHeight="1" x14ac:dyDescent="0.3">
      <c r="AR63" s="37"/>
      <c r="BYT63" s="299"/>
      <c r="BYU63" s="299"/>
      <c r="BYV63" s="299"/>
      <c r="BYW63" s="299"/>
      <c r="BYX63" s="299"/>
      <c r="BYY63" s="299"/>
      <c r="BYZ63" s="299"/>
      <c r="BZA63" s="299"/>
      <c r="BZB63" s="299"/>
      <c r="BZC63" s="299"/>
      <c r="BZD63" s="299"/>
      <c r="BZE63" s="299"/>
      <c r="BZF63" s="299"/>
      <c r="BZG63" s="299"/>
      <c r="BZH63" s="299"/>
      <c r="BZI63" s="299" t="s">
        <v>122</v>
      </c>
      <c r="BZJ63" s="670" t="e">
        <f>ROUND(SUM(BZJ54:BZJ61),0)</f>
        <v>#N/A</v>
      </c>
      <c r="BZK63" s="670" t="e">
        <f t="shared" ref="BZK63" si="17">SUM(BZK54:BZK61)</f>
        <v>#N/A</v>
      </c>
      <c r="BZL63" s="670" t="e">
        <f t="shared" ref="BZL63:BZQ63" si="18">SUM(BZL54:BZL61)</f>
        <v>#N/A</v>
      </c>
      <c r="BZM63" s="670" t="e">
        <f t="shared" si="18"/>
        <v>#N/A</v>
      </c>
      <c r="BZN63" s="670" t="e">
        <f t="shared" si="18"/>
        <v>#N/A</v>
      </c>
      <c r="BZO63" s="670" t="e">
        <f t="shared" si="18"/>
        <v>#N/A</v>
      </c>
      <c r="BZP63" s="670" t="e">
        <f t="shared" si="18"/>
        <v>#N/A</v>
      </c>
      <c r="BZQ63" s="670" t="e">
        <f t="shared" si="18"/>
        <v>#N/A</v>
      </c>
      <c r="BZR63" s="299"/>
      <c r="BZS63" s="299"/>
      <c r="BZT63" s="299"/>
      <c r="BZU63" s="299"/>
      <c r="BZV63" s="299"/>
      <c r="BZW63" s="299"/>
      <c r="BZX63" s="299"/>
      <c r="BZY63" s="299"/>
    </row>
    <row r="64" spans="10:44 2022:2053" x14ac:dyDescent="0.3">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183"/>
      <c r="AO64" s="20"/>
      <c r="AP64" s="126"/>
      <c r="AR64" s="37"/>
      <c r="BYT64" s="299"/>
      <c r="BYU64" s="299"/>
      <c r="BYV64" s="299"/>
      <c r="BYW64" s="299"/>
      <c r="BYX64" s="299"/>
      <c r="BYY64" s="299"/>
      <c r="BYZ64" s="299"/>
      <c r="BZA64" s="299"/>
      <c r="BZB64" s="299"/>
      <c r="BZC64" s="299"/>
      <c r="BZD64" s="299"/>
      <c r="BZE64" s="299"/>
      <c r="BZF64" s="299"/>
      <c r="BZG64" s="299"/>
      <c r="BZH64" s="299"/>
      <c r="BZI64" s="299"/>
      <c r="BZJ64" s="299"/>
      <c r="BZK64" s="299">
        <f t="shared" ref="BZK64:BZQ64" si="19">IF($K$47/BZK52=1,1,0)</f>
        <v>0</v>
      </c>
      <c r="BZL64" s="299">
        <f t="shared" si="19"/>
        <v>1</v>
      </c>
      <c r="BZM64" s="299">
        <f t="shared" si="19"/>
        <v>0</v>
      </c>
      <c r="BZN64" s="299">
        <f t="shared" si="19"/>
        <v>0</v>
      </c>
      <c r="BZO64" s="299">
        <f t="shared" si="19"/>
        <v>0</v>
      </c>
      <c r="BZP64" s="299">
        <f t="shared" si="19"/>
        <v>0</v>
      </c>
      <c r="BZQ64" s="299">
        <f t="shared" si="19"/>
        <v>0</v>
      </c>
      <c r="BZR64" s="299"/>
      <c r="BZS64" s="299"/>
      <c r="BZT64" s="299"/>
      <c r="BZU64" s="299"/>
      <c r="BZV64" s="299"/>
      <c r="BZW64" s="299"/>
      <c r="BZX64" s="299"/>
      <c r="BZY64" s="299"/>
    </row>
    <row r="65" spans="11:44 2022:2053" ht="18" x14ac:dyDescent="0.35">
      <c r="K65" s="593"/>
      <c r="L65" s="594" t="str">
        <f>"Referentiemonitor Circulaire Peiler - Overzicht MKI / MCI (CB'23) / CO2 quotiënten van de "&amp;N8</f>
        <v>Referentiemonitor Circulaire Peiler - Overzicht MKI / MCI (CB'23) / CO2 quotiënten van de verkenningsfase</v>
      </c>
      <c r="M65" s="595"/>
      <c r="N65" s="595"/>
      <c r="O65" s="595"/>
      <c r="P65" s="595"/>
      <c r="Q65" s="595"/>
      <c r="R65" s="595"/>
      <c r="S65" s="595"/>
      <c r="T65" s="595"/>
      <c r="U65" s="595"/>
      <c r="V65" s="595"/>
      <c r="W65" s="595"/>
      <c r="X65" s="595"/>
      <c r="Y65" s="595"/>
      <c r="Z65" s="595"/>
      <c r="AA65" s="595"/>
      <c r="AB65" s="595"/>
      <c r="AC65" s="595"/>
      <c r="AD65" s="595"/>
      <c r="AE65" s="595"/>
      <c r="AF65" s="595"/>
      <c r="AG65" s="595"/>
      <c r="AH65" s="595"/>
      <c r="AI65" s="595"/>
      <c r="AJ65" s="595"/>
      <c r="AK65" s="595"/>
      <c r="AL65" s="604" t="s">
        <v>319</v>
      </c>
      <c r="AM65" s="595"/>
      <c r="AN65" s="596"/>
      <c r="AO65" s="595"/>
      <c r="AP65" s="630"/>
      <c r="AR65" s="37"/>
      <c r="BYT65" s="299"/>
      <c r="BYU65" s="299"/>
      <c r="BYV65" s="299"/>
      <c r="BYW65" s="299"/>
      <c r="BYX65" s="299"/>
      <c r="BYY65" s="299"/>
      <c r="BYZ65" s="299"/>
      <c r="BZA65" s="299"/>
      <c r="BZB65" s="299"/>
      <c r="BZC65" s="299"/>
      <c r="BZD65" s="299"/>
      <c r="BZE65" s="299"/>
      <c r="BZF65" s="299"/>
      <c r="BZG65" s="299"/>
      <c r="BZH65" s="299"/>
      <c r="BZI65" s="299"/>
      <c r="BZJ65" s="299"/>
      <c r="BZK65" s="299"/>
      <c r="BZL65" s="299"/>
      <c r="BZM65" s="299"/>
      <c r="BZN65" s="299"/>
      <c r="BZO65" s="299"/>
      <c r="BZP65" s="299"/>
      <c r="BZQ65" s="299"/>
      <c r="BZR65" s="299"/>
      <c r="BZS65" s="299"/>
      <c r="BZT65" s="299"/>
      <c r="BZU65" s="299"/>
      <c r="BZV65" s="299"/>
      <c r="BZW65" s="299"/>
      <c r="BZX65" s="299"/>
      <c r="BZY65" s="299"/>
    </row>
    <row r="66" spans="11:44 2022:2053" ht="18" x14ac:dyDescent="0.35">
      <c r="K66" s="608" t="s">
        <v>123</v>
      </c>
      <c r="L66" s="474"/>
      <c r="M66" s="474"/>
      <c r="N66" s="474"/>
      <c r="O66" s="20"/>
      <c r="P66" s="20"/>
      <c r="Q66" s="20"/>
      <c r="R66" s="20"/>
      <c r="S66" s="20"/>
      <c r="T66" s="20"/>
      <c r="U66" s="20"/>
      <c r="V66" s="20"/>
      <c r="W66" s="20"/>
      <c r="X66" s="20"/>
      <c r="Y66" s="20"/>
      <c r="Z66" s="20"/>
      <c r="AA66" s="20"/>
      <c r="AB66" s="20"/>
      <c r="AC66" s="20"/>
      <c r="AD66" s="20"/>
      <c r="AE66" s="20"/>
      <c r="AF66" s="20"/>
      <c r="AG66" s="20"/>
      <c r="AH66" s="20"/>
      <c r="AI66" s="20"/>
      <c r="AJ66" s="20"/>
      <c r="AK66" s="20"/>
      <c r="AL66" s="609" t="str">
        <f>"MKI referentie = €"&amp;" "&amp;N68&amp;""</f>
        <v xml:space="preserve">MKI referentie = € </v>
      </c>
      <c r="AM66" s="612"/>
      <c r="AN66" s="613"/>
      <c r="AO66" s="612"/>
      <c r="AP66" s="631"/>
      <c r="AR66" s="37"/>
      <c r="BYT66" s="299"/>
      <c r="BYU66" s="299"/>
      <c r="BYV66" s="299"/>
      <c r="BYW66" s="299"/>
      <c r="BYX66" s="299"/>
      <c r="BYY66" s="299"/>
      <c r="BYZ66" s="299"/>
      <c r="BZA66" s="299"/>
      <c r="BZB66" s="299"/>
      <c r="BZC66" s="299"/>
      <c r="BZD66" s="299"/>
      <c r="BZE66" s="299"/>
      <c r="BZF66" s="299"/>
      <c r="BZG66" s="299"/>
      <c r="BZH66" s="299"/>
      <c r="BZI66" s="299"/>
      <c r="BZJ66" s="299"/>
      <c r="BZK66" s="299"/>
      <c r="BZL66" s="299"/>
      <c r="BZM66" s="299"/>
      <c r="BZN66" s="299"/>
      <c r="BZO66" s="299"/>
      <c r="BZP66" s="299"/>
      <c r="BZQ66" s="299"/>
      <c r="BZR66" s="299"/>
      <c r="BZS66" s="299"/>
      <c r="BZT66" s="299"/>
      <c r="BZU66" s="299"/>
      <c r="BZV66" s="299"/>
      <c r="BZW66" s="299"/>
      <c r="BZX66" s="299"/>
      <c r="BZY66" s="299"/>
    </row>
    <row r="67" spans="11:44 2022:2053" ht="18" x14ac:dyDescent="0.35">
      <c r="K67" s="597" t="s">
        <v>124</v>
      </c>
      <c r="L67" s="236"/>
      <c r="M67" s="551" t="str">
        <f>IF(N67="","         voer hier de MKI van het project in","")</f>
        <v xml:space="preserve">         voer hier de MKI van het project in</v>
      </c>
      <c r="N67" s="586"/>
      <c r="O67" s="20"/>
      <c r="P67" s="20"/>
      <c r="Q67" s="20"/>
      <c r="R67" s="20"/>
      <c r="S67" s="20"/>
      <c r="T67" s="20"/>
      <c r="U67" s="20"/>
      <c r="V67" s="20"/>
      <c r="W67" s="20"/>
      <c r="X67" s="20"/>
      <c r="Y67" s="20"/>
      <c r="Z67" s="20"/>
      <c r="AA67" s="20"/>
      <c r="AB67" s="20"/>
      <c r="AC67" s="20"/>
      <c r="AD67" s="20"/>
      <c r="AE67" s="20"/>
      <c r="AF67" s="20"/>
      <c r="AG67" s="20"/>
      <c r="AH67" s="20"/>
      <c r="AI67" s="20"/>
      <c r="AJ67" s="20"/>
      <c r="AK67" s="20"/>
      <c r="AL67" s="605" t="str">
        <f>"MKI reductie"</f>
        <v>MKI reductie</v>
      </c>
      <c r="AM67" s="20"/>
      <c r="AN67" s="259" t="str">
        <f>"MKI reductie t.o.v. referentie € "&amp;N68</f>
        <v xml:space="preserve">MKI reductie t.o.v. referentie € </v>
      </c>
      <c r="AO67" s="639" t="e">
        <f>1-AP67</f>
        <v>#VALUE!</v>
      </c>
      <c r="AP67" s="632" t="str">
        <f>IF(N68=0,"?",(1-N67/(N68+0.0000001)))</f>
        <v>?</v>
      </c>
      <c r="AR67" s="780"/>
      <c r="BYT67" s="299"/>
      <c r="BYU67" s="299"/>
      <c r="BYV67" s="299"/>
      <c r="BYW67" s="299"/>
      <c r="BYX67" s="299"/>
      <c r="BYY67" s="299"/>
      <c r="BYZ67" s="299"/>
      <c r="BZA67" s="299"/>
      <c r="BZB67" s="299"/>
      <c r="BZC67" s="299"/>
      <c r="BZD67" s="299"/>
      <c r="BZE67" s="299"/>
      <c r="BZF67" s="299"/>
      <c r="BZG67" s="299"/>
      <c r="BZH67" s="299"/>
      <c r="BZI67" s="299"/>
      <c r="BZJ67" s="299"/>
      <c r="BZK67" s="299"/>
      <c r="BZL67" s="299"/>
      <c r="BZM67" s="299"/>
      <c r="BZN67" s="299"/>
      <c r="BZO67" s="299"/>
      <c r="BZP67" s="299"/>
      <c r="BZQ67" s="299"/>
      <c r="BZR67" s="299"/>
      <c r="BZS67" s="299"/>
      <c r="BZT67" s="299"/>
      <c r="BZU67" s="299"/>
      <c r="BZV67" s="299"/>
      <c r="BZW67" s="299"/>
      <c r="BZX67" s="299"/>
      <c r="BZY67" s="299"/>
    </row>
    <row r="68" spans="11:44 2022:2053" ht="18" x14ac:dyDescent="0.35">
      <c r="K68" s="597" t="s">
        <v>125</v>
      </c>
      <c r="L68" s="236"/>
      <c r="M68" s="551" t="str">
        <f>IF(N68="","         voer hier de MKI van het referentieobject/project in","")</f>
        <v xml:space="preserve">         voer hier de MKI van het referentieobject/project in</v>
      </c>
      <c r="N68" s="586"/>
      <c r="O68" s="20"/>
      <c r="P68" s="20"/>
      <c r="Q68" s="20"/>
      <c r="R68" s="20"/>
      <c r="S68" s="20"/>
      <c r="T68" s="20"/>
      <c r="U68" s="20"/>
      <c r="V68" s="20"/>
      <c r="W68" s="20"/>
      <c r="X68" s="20"/>
      <c r="Y68" s="20"/>
      <c r="Z68" s="20"/>
      <c r="AA68" s="20"/>
      <c r="AB68" s="20"/>
      <c r="AC68" s="20"/>
      <c r="AD68" s="20"/>
      <c r="AE68" s="20"/>
      <c r="AF68" s="20"/>
      <c r="AG68" s="20"/>
      <c r="AH68" s="20"/>
      <c r="AI68" s="20"/>
      <c r="AJ68" s="20"/>
      <c r="AK68" s="20"/>
      <c r="AL68" s="236" t="s">
        <v>126</v>
      </c>
      <c r="AM68" s="20"/>
      <c r="AN68" s="183"/>
      <c r="AO68" s="20"/>
      <c r="AP68" s="633" t="str">
        <f>IF(AP67="?","?",N67/(N68+0.000001))</f>
        <v>?</v>
      </c>
      <c r="AR68" s="780"/>
    </row>
    <row r="69" spans="11:44 2022:2053" ht="18" x14ac:dyDescent="0.35">
      <c r="K69" s="598"/>
      <c r="L69" s="295"/>
      <c r="M69" s="295"/>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183"/>
      <c r="AO69" s="20"/>
      <c r="AP69" s="634" t="e">
        <f>1-AP67</f>
        <v>#VALUE!</v>
      </c>
      <c r="AR69" s="37"/>
    </row>
    <row r="70" spans="11:44 2022:2053" ht="18" x14ac:dyDescent="0.35">
      <c r="K70" s="607" t="s">
        <v>347</v>
      </c>
      <c r="L70" s="475"/>
      <c r="M70" s="475"/>
      <c r="N70" s="475"/>
      <c r="O70" s="20"/>
      <c r="P70" s="20"/>
      <c r="Q70" s="20"/>
      <c r="R70" s="20"/>
      <c r="S70" s="20"/>
      <c r="T70" s="20"/>
      <c r="U70" s="20"/>
      <c r="V70" s="20"/>
      <c r="W70" s="20"/>
      <c r="X70" s="20"/>
      <c r="Y70" s="20"/>
      <c r="Z70" s="20"/>
      <c r="AA70" s="20"/>
      <c r="AB70" s="20"/>
      <c r="AC70" s="20"/>
      <c r="AD70" s="20"/>
      <c r="AE70" s="20"/>
      <c r="AF70" s="20"/>
      <c r="AG70" s="20"/>
      <c r="AH70" s="20"/>
      <c r="AI70" s="20"/>
      <c r="AJ70" s="20"/>
      <c r="AK70" s="20"/>
      <c r="AL70" s="610" t="str">
        <f>"MCI referentie ="&amp;" "&amp;N72&amp;"[-]"</f>
        <v>MCI referentie = [-]</v>
      </c>
      <c r="AM70" s="614"/>
      <c r="AN70" s="615"/>
      <c r="AO70" s="614"/>
      <c r="AP70" s="635"/>
      <c r="AR70" s="37"/>
    </row>
    <row r="71" spans="11:44 2022:2053" ht="18" x14ac:dyDescent="0.35">
      <c r="K71" s="597" t="s">
        <v>345</v>
      </c>
      <c r="L71" s="236"/>
      <c r="M71" s="551" t="str">
        <f>IF(N71="","         voer hier de circulariteitsindex (CI) van het project in volgens bijlage G kernmeetmethode CB'23","")</f>
        <v xml:space="preserve">         voer hier de circulariteitsindex (CI) van het project in volgens bijlage G kernmeetmethode CB'23</v>
      </c>
      <c r="N71" s="652"/>
      <c r="O71" s="20"/>
      <c r="P71" s="20"/>
      <c r="Q71" s="20"/>
      <c r="R71" s="20"/>
      <c r="S71" s="20"/>
      <c r="T71" s="20"/>
      <c r="U71" s="20"/>
      <c r="V71" s="20"/>
      <c r="W71" s="20"/>
      <c r="X71" s="20"/>
      <c r="Y71" s="20"/>
      <c r="Z71" s="20"/>
      <c r="AA71" s="20"/>
      <c r="AB71" s="20"/>
      <c r="AC71" s="20"/>
      <c r="AD71" s="20"/>
      <c r="AE71" s="20"/>
      <c r="AF71" s="20"/>
      <c r="AG71" s="20"/>
      <c r="AH71" s="20"/>
      <c r="AI71" s="20"/>
      <c r="AJ71" s="20"/>
      <c r="AK71" s="20"/>
      <c r="AL71" s="605" t="str">
        <f>"MCI reductie"</f>
        <v>MCI reductie</v>
      </c>
      <c r="AM71" s="20"/>
      <c r="AN71" s="259" t="str">
        <f>"MCI reductie t.o.v. referentie "&amp;N72&amp;" [-]"</f>
        <v>MCI reductie t.o.v. referentie  [-]</v>
      </c>
      <c r="AO71" s="639" t="e">
        <f>1-AP71</f>
        <v>#VALUE!</v>
      </c>
      <c r="AP71" s="632" t="str">
        <f>IF(N72=0,"?",N71-N72)</f>
        <v>?</v>
      </c>
      <c r="AR71" s="780"/>
    </row>
    <row r="72" spans="11:44 2022:2053" ht="18" x14ac:dyDescent="0.35">
      <c r="K72" s="597" t="s">
        <v>346</v>
      </c>
      <c r="L72" s="236"/>
      <c r="M72" s="551" t="str">
        <f>IF(N72="","         voer hier de circulariteitsindex (MCI) van het referentieobject/project in volgens bijlage G kernmeetmethode CB'23","")</f>
        <v xml:space="preserve">         voer hier de circulariteitsindex (MCI) van het referentieobject/project in volgens bijlage G kernmeetmethode CB'23</v>
      </c>
      <c r="N72" s="653"/>
      <c r="O72" s="20"/>
      <c r="P72" s="20"/>
      <c r="Q72" s="20"/>
      <c r="R72" s="20"/>
      <c r="S72" s="20"/>
      <c r="T72" s="20"/>
      <c r="U72" s="20"/>
      <c r="V72" s="20"/>
      <c r="W72" s="20"/>
      <c r="X72" s="20"/>
      <c r="Y72" s="20"/>
      <c r="Z72" s="20"/>
      <c r="AA72" s="20"/>
      <c r="AB72" s="20"/>
      <c r="AC72" s="20"/>
      <c r="AD72" s="20"/>
      <c r="AE72" s="20"/>
      <c r="AF72" s="20"/>
      <c r="AG72" s="20"/>
      <c r="AH72" s="20"/>
      <c r="AI72" s="20"/>
      <c r="AJ72" s="20"/>
      <c r="AK72" s="20"/>
      <c r="AL72" s="236" t="s">
        <v>348</v>
      </c>
      <c r="AM72" s="20"/>
      <c r="AN72" s="183"/>
      <c r="AO72" s="20"/>
      <c r="AP72" s="633" t="str">
        <f>IF(AP71="?","?",1-AP71)</f>
        <v>?</v>
      </c>
      <c r="AR72" s="780"/>
    </row>
    <row r="73" spans="11:44 2022:2053" x14ac:dyDescent="0.3">
      <c r="K73" s="598"/>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183"/>
      <c r="AO73" s="20"/>
      <c r="AP73" s="634" t="e">
        <f>1-AP71</f>
        <v>#VALUE!</v>
      </c>
      <c r="AR73" s="37"/>
    </row>
    <row r="74" spans="11:44 2022:2053" ht="20.399999999999999" x14ac:dyDescent="0.45">
      <c r="K74" s="606" t="s">
        <v>320</v>
      </c>
      <c r="L74" s="476"/>
      <c r="M74" s="476"/>
      <c r="N74" s="476"/>
      <c r="O74" s="20"/>
      <c r="P74" s="20"/>
      <c r="Q74" s="20"/>
      <c r="R74" s="20"/>
      <c r="S74" s="20"/>
      <c r="T74" s="20"/>
      <c r="U74" s="20"/>
      <c r="V74" s="20"/>
      <c r="W74" s="20"/>
      <c r="X74" s="20"/>
      <c r="Y74" s="20"/>
      <c r="Z74" s="20"/>
      <c r="AA74" s="20"/>
      <c r="AB74" s="20"/>
      <c r="AC74" s="20"/>
      <c r="AD74" s="20"/>
      <c r="AE74" s="20"/>
      <c r="AF74" s="20"/>
      <c r="AG74" s="20"/>
      <c r="AH74" s="20"/>
      <c r="AI74" s="20"/>
      <c r="AJ74" s="20"/>
      <c r="AK74" s="20"/>
      <c r="AL74" s="611" t="str">
        <f>"CO2 referentie ="&amp;" "&amp;N76&amp;" ton CO2"</f>
        <v>CO2 referentie =  ton CO2</v>
      </c>
      <c r="AM74" s="139"/>
      <c r="AN74" s="616"/>
      <c r="AO74" s="139"/>
      <c r="AP74" s="636"/>
      <c r="AR74" s="37"/>
    </row>
    <row r="75" spans="11:44 2022:2053" ht="20.399999999999999" x14ac:dyDescent="0.45">
      <c r="K75" s="597" t="s">
        <v>310</v>
      </c>
      <c r="L75" s="236"/>
      <c r="M75" s="551" t="str">
        <f>IF(N75="","         voer hier de CO2 uitstoot van het project in","")</f>
        <v xml:space="preserve">         voer hier de CO2 uitstoot van het project in</v>
      </c>
      <c r="N75" s="586"/>
      <c r="O75" s="20"/>
      <c r="P75" s="20"/>
      <c r="Q75" s="20"/>
      <c r="R75" s="20"/>
      <c r="S75" s="20"/>
      <c r="T75" s="20"/>
      <c r="U75" s="20"/>
      <c r="V75" s="20"/>
      <c r="W75" s="20"/>
      <c r="X75" s="20"/>
      <c r="Y75" s="20"/>
      <c r="Z75" s="20"/>
      <c r="AA75" s="20"/>
      <c r="AB75" s="20"/>
      <c r="AC75" s="20"/>
      <c r="AD75" s="20"/>
      <c r="AE75" s="20"/>
      <c r="AF75" s="20"/>
      <c r="AG75" s="20"/>
      <c r="AH75" s="20"/>
      <c r="AI75" s="20"/>
      <c r="AJ75" s="20"/>
      <c r="AK75" s="20"/>
      <c r="AL75" s="592" t="str">
        <f>"CO2 reductie"</f>
        <v>CO2 reductie</v>
      </c>
      <c r="AM75" s="20"/>
      <c r="AN75" s="259" t="str">
        <f>"CO2 reductie t.o.v. referentie "&amp;N76&amp;" tonCO2"</f>
        <v>CO2 reductie t.o.v. referentie  tonCO2</v>
      </c>
      <c r="AO75" s="639" t="e">
        <f>1-AP75</f>
        <v>#VALUE!</v>
      </c>
      <c r="AP75" s="637" t="str">
        <f>IF(N76=0,"?",1-N75/(N76+0.0000001))</f>
        <v>?</v>
      </c>
      <c r="AR75" s="780"/>
    </row>
    <row r="76" spans="11:44 2022:2053" ht="17.399999999999999" customHeight="1" x14ac:dyDescent="0.45">
      <c r="K76" s="597" t="s">
        <v>311</v>
      </c>
      <c r="L76" s="236"/>
      <c r="M76" s="551" t="str">
        <f>IF(N76="","         voer hier de CO2 uitstoot van het referentieobject/project in","")</f>
        <v xml:space="preserve">         voer hier de CO2 uitstoot van het referentieobject/project in</v>
      </c>
      <c r="N76" s="587"/>
      <c r="O76" s="20"/>
      <c r="P76" s="20"/>
      <c r="Q76" s="20"/>
      <c r="R76" s="20"/>
      <c r="S76" s="20"/>
      <c r="T76" s="20"/>
      <c r="U76" s="20"/>
      <c r="V76" s="20"/>
      <c r="W76" s="20"/>
      <c r="X76" s="20"/>
      <c r="Y76" s="20"/>
      <c r="Z76" s="20"/>
      <c r="AA76" s="20"/>
      <c r="AB76" s="20"/>
      <c r="AC76" s="20"/>
      <c r="AD76" s="20"/>
      <c r="AE76" s="20"/>
      <c r="AF76" s="20"/>
      <c r="AG76" s="20"/>
      <c r="AH76" s="20"/>
      <c r="AI76" s="20"/>
      <c r="AJ76" s="20"/>
      <c r="AK76" s="20"/>
      <c r="AL76" s="236" t="s">
        <v>312</v>
      </c>
      <c r="AM76" s="20"/>
      <c r="AN76" s="183"/>
      <c r="AO76" s="20"/>
      <c r="AP76" s="633" t="str">
        <f>IF(AP75="?","?",N75/(N76+0.000001))</f>
        <v>?</v>
      </c>
      <c r="AR76" s="780"/>
    </row>
    <row r="77" spans="11:44 2022:2053" ht="14.4" customHeight="1" x14ac:dyDescent="0.35">
      <c r="K77" s="599"/>
      <c r="L77" s="600"/>
      <c r="M77" s="600"/>
      <c r="N77" s="601"/>
      <c r="O77" s="602"/>
      <c r="P77" s="602"/>
      <c r="Q77" s="602"/>
      <c r="R77" s="602"/>
      <c r="S77" s="602"/>
      <c r="T77" s="602"/>
      <c r="U77" s="602"/>
      <c r="V77" s="602"/>
      <c r="W77" s="602"/>
      <c r="X77" s="602"/>
      <c r="Y77" s="602"/>
      <c r="Z77" s="602"/>
      <c r="AA77" s="602"/>
      <c r="AB77" s="602"/>
      <c r="AC77" s="602"/>
      <c r="AD77" s="602"/>
      <c r="AE77" s="602"/>
      <c r="AF77" s="602"/>
      <c r="AG77" s="602"/>
      <c r="AH77" s="602"/>
      <c r="AI77" s="602"/>
      <c r="AJ77" s="602"/>
      <c r="AK77" s="602"/>
      <c r="AL77" s="602"/>
      <c r="AM77" s="602"/>
      <c r="AN77" s="603"/>
      <c r="AO77" s="602"/>
      <c r="AP77" s="638" t="e">
        <f>1-AP75</f>
        <v>#VALUE!</v>
      </c>
      <c r="AR77" s="37"/>
    </row>
    <row r="78" spans="11:44 2022:2053" ht="14.4" customHeight="1" x14ac:dyDescent="0.3">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183"/>
      <c r="AO78" s="20"/>
      <c r="AP78" s="126"/>
    </row>
    <row r="81" spans="12:43" ht="18" x14ac:dyDescent="0.35">
      <c r="L81" s="296"/>
      <c r="M81" s="296"/>
      <c r="O81" s="20"/>
      <c r="P81" s="20"/>
      <c r="Q81" s="20"/>
      <c r="R81" s="20"/>
      <c r="S81" s="20"/>
      <c r="T81" s="20"/>
      <c r="U81" s="20"/>
      <c r="V81" s="20"/>
      <c r="W81" s="20"/>
      <c r="X81" s="20"/>
      <c r="Y81" s="20"/>
      <c r="Z81" s="20"/>
      <c r="AA81" s="20"/>
      <c r="AB81" s="20"/>
      <c r="AC81" s="20"/>
      <c r="AD81" s="20"/>
      <c r="AE81" s="20"/>
      <c r="AF81" s="20"/>
      <c r="AG81" s="20"/>
      <c r="AH81" s="20"/>
      <c r="AI81" s="20"/>
      <c r="AJ81" s="20"/>
      <c r="AK81" s="20"/>
      <c r="AM81" s="20"/>
      <c r="AN81" s="183"/>
      <c r="AO81" s="20"/>
      <c r="AP81" s="126"/>
      <c r="AQ81" s="183"/>
    </row>
    <row r="82" spans="12:43" x14ac:dyDescent="0.3">
      <c r="L82" s="20"/>
      <c r="M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183"/>
      <c r="AO82" s="20"/>
      <c r="AP82" s="126"/>
      <c r="AQ82" s="183"/>
    </row>
    <row r="88" spans="12:43" ht="21" x14ac:dyDescent="0.4">
      <c r="L88" s="40"/>
    </row>
  </sheetData>
  <sheetProtection algorithmName="SHA-512" hashValue="kctBYQHdX2dN3ghI0JIiUmz88txJ3LLJU4FzhuoJ3gEqrwxoSj6QBNSOr8I8TxldBn5+dTF+hViAxVyBb1bADw==" saltValue="uEE6cgv6eGyBa9HPgg4jQw==" spinCount="100000" sheet="1" objects="1" scenarios="1"/>
  <conditionalFormatting sqref="AE24:AJ24 AE26:AK26">
    <cfRule type="dataBar" priority="42">
      <dataBar>
        <cfvo type="min"/>
        <cfvo type="max"/>
        <color rgb="FF638EC6"/>
      </dataBar>
      <extLst>
        <ext xmlns:x14="http://schemas.microsoft.com/office/spreadsheetml/2009/9/main" uri="{B025F937-C7B1-47D3-B67F-A62EFF666E3E}">
          <x14:id>{A7094DEE-9E17-4A5C-B4E4-E4ED226A2208}</x14:id>
        </ext>
      </extLst>
    </cfRule>
  </conditionalFormatting>
  <conditionalFormatting sqref="AE22:AI22 AE28:AK30 AE32:AK33 AE35:AK35 AE37:AK37 AE39:AK40 AE42:AK42">
    <cfRule type="dataBar" priority="41">
      <dataBar>
        <cfvo type="min"/>
        <cfvo type="max"/>
        <color rgb="FF638EC6"/>
      </dataBar>
      <extLst>
        <ext xmlns:x14="http://schemas.microsoft.com/office/spreadsheetml/2009/9/main" uri="{B025F937-C7B1-47D3-B67F-A62EFF666E3E}">
          <x14:id>{36AE1157-17A3-4A97-97ED-115F3B407444}</x14:id>
        </ext>
      </extLst>
    </cfRule>
  </conditionalFormatting>
  <conditionalFormatting sqref="AE24:AJ24 AE26:AK26 AE28:AK28 AE22:AK22">
    <cfRule type="dataBar" priority="40">
      <dataBar>
        <cfvo type="min"/>
        <cfvo type="max"/>
        <color rgb="FF638EC6"/>
      </dataBar>
      <extLst>
        <ext xmlns:x14="http://schemas.microsoft.com/office/spreadsheetml/2009/9/main" uri="{B025F937-C7B1-47D3-B67F-A62EFF666E3E}">
          <x14:id>{4BECD52E-85B3-4A5E-B1A0-061C56290AAE}</x14:id>
        </ext>
      </extLst>
    </cfRule>
  </conditionalFormatting>
  <conditionalFormatting sqref="AE26:AE42">
    <cfRule type="dataBar" priority="39">
      <dataBar>
        <cfvo type="min"/>
        <cfvo type="max"/>
        <color rgb="FF638EC6"/>
      </dataBar>
      <extLst>
        <ext xmlns:x14="http://schemas.microsoft.com/office/spreadsheetml/2009/9/main" uri="{B025F937-C7B1-47D3-B67F-A62EFF666E3E}">
          <x14:id>{E62A2A9B-5E75-461B-8DAC-BF397D014665}</x14:id>
        </ext>
      </extLst>
    </cfRule>
  </conditionalFormatting>
  <conditionalFormatting sqref="AE24">
    <cfRule type="dataBar" priority="38">
      <dataBar>
        <cfvo type="min"/>
        <cfvo type="max"/>
        <color rgb="FF638EC6"/>
      </dataBar>
      <extLst>
        <ext xmlns:x14="http://schemas.microsoft.com/office/spreadsheetml/2009/9/main" uri="{B025F937-C7B1-47D3-B67F-A62EFF666E3E}">
          <x14:id>{78716815-F582-4D1F-BA11-3A51FC16E8C0}</x14:id>
        </ext>
      </extLst>
    </cfRule>
  </conditionalFormatting>
  <conditionalFormatting sqref="AE24">
    <cfRule type="dataBar" priority="37">
      <dataBar>
        <cfvo type="min"/>
        <cfvo type="max"/>
        <color rgb="FF638EC6"/>
      </dataBar>
      <extLst>
        <ext xmlns:x14="http://schemas.microsoft.com/office/spreadsheetml/2009/9/main" uri="{B025F937-C7B1-47D3-B67F-A62EFF666E3E}">
          <x14:id>{13655970-1671-46D9-90C8-1D7EC3436B14}</x14:id>
        </ext>
      </extLst>
    </cfRule>
  </conditionalFormatting>
  <conditionalFormatting sqref="AE22:AE42">
    <cfRule type="dataBar" priority="36">
      <dataBar>
        <cfvo type="min"/>
        <cfvo type="max"/>
        <color rgb="FF638EC6"/>
      </dataBar>
      <extLst>
        <ext xmlns:x14="http://schemas.microsoft.com/office/spreadsheetml/2009/9/main" uri="{B025F937-C7B1-47D3-B67F-A62EFF666E3E}">
          <x14:id>{9A2DEC42-EE89-4495-90FB-1EA91E2FE22E}</x14:id>
        </ext>
      </extLst>
    </cfRule>
  </conditionalFormatting>
  <conditionalFormatting sqref="AE21:AE42">
    <cfRule type="dataBar" priority="34">
      <dataBar>
        <cfvo type="min"/>
        <cfvo type="max"/>
        <color theme="0" tint="-0.34998626667073579"/>
      </dataBar>
      <extLst>
        <ext xmlns:x14="http://schemas.microsoft.com/office/spreadsheetml/2009/9/main" uri="{B025F937-C7B1-47D3-B67F-A62EFF666E3E}">
          <x14:id>{B6B7B672-D71C-4410-8C7B-2133F64B12A9}</x14:id>
        </ext>
      </extLst>
    </cfRule>
    <cfRule type="dataBar" priority="35">
      <dataBar>
        <cfvo type="min"/>
        <cfvo type="max"/>
        <color rgb="FF638EC6"/>
      </dataBar>
      <extLst>
        <ext xmlns:x14="http://schemas.microsoft.com/office/spreadsheetml/2009/9/main" uri="{B025F937-C7B1-47D3-B67F-A62EFF666E3E}">
          <x14:id>{C6259094-CC05-4A55-A1E4-2183D8660959}</x14:id>
        </ext>
      </extLst>
    </cfRule>
  </conditionalFormatting>
  <conditionalFormatting sqref="AK24">
    <cfRule type="dataBar" priority="33">
      <dataBar>
        <cfvo type="min"/>
        <cfvo type="max"/>
        <color rgb="FF638EC6"/>
      </dataBar>
      <extLst>
        <ext xmlns:x14="http://schemas.microsoft.com/office/spreadsheetml/2009/9/main" uri="{B025F937-C7B1-47D3-B67F-A62EFF666E3E}">
          <x14:id>{02F4BB3C-5408-4C58-92AC-1BBD655750BE}</x14:id>
        </ext>
      </extLst>
    </cfRule>
  </conditionalFormatting>
  <conditionalFormatting sqref="AK24">
    <cfRule type="dataBar" priority="32">
      <dataBar>
        <cfvo type="min"/>
        <cfvo type="max"/>
        <color rgb="FF638EC6"/>
      </dataBar>
      <extLst>
        <ext xmlns:x14="http://schemas.microsoft.com/office/spreadsheetml/2009/9/main" uri="{B025F937-C7B1-47D3-B67F-A62EFF666E3E}">
          <x14:id>{548D8419-34C9-4A77-9204-9742298A0BA7}</x14:id>
        </ext>
      </extLst>
    </cfRule>
  </conditionalFormatting>
  <conditionalFormatting sqref="AK24">
    <cfRule type="dataBar" priority="31">
      <dataBar>
        <cfvo type="min"/>
        <cfvo type="max"/>
        <color rgb="FF638EC6"/>
      </dataBar>
      <extLst>
        <ext xmlns:x14="http://schemas.microsoft.com/office/spreadsheetml/2009/9/main" uri="{B025F937-C7B1-47D3-B67F-A62EFF666E3E}">
          <x14:id>{D40147DE-7C5F-4421-984D-1FB00ABF7BBA}</x14:id>
        </ext>
      </extLst>
    </cfRule>
  </conditionalFormatting>
  <conditionalFormatting sqref="AK24">
    <cfRule type="dataBar" priority="30">
      <dataBar>
        <cfvo type="min"/>
        <cfvo type="max"/>
        <color rgb="FF638EC6"/>
      </dataBar>
      <extLst>
        <ext xmlns:x14="http://schemas.microsoft.com/office/spreadsheetml/2009/9/main" uri="{B025F937-C7B1-47D3-B67F-A62EFF666E3E}">
          <x14:id>{4C74F9D4-BFFF-45F0-A94B-A20B4D5B2A6C}</x14:id>
        </ext>
      </extLst>
    </cfRule>
  </conditionalFormatting>
  <conditionalFormatting sqref="AK24">
    <cfRule type="dataBar" priority="29">
      <dataBar>
        <cfvo type="min"/>
        <cfvo type="max"/>
        <color rgb="FF638EC6"/>
      </dataBar>
      <extLst>
        <ext xmlns:x14="http://schemas.microsoft.com/office/spreadsheetml/2009/9/main" uri="{B025F937-C7B1-47D3-B67F-A62EFF666E3E}">
          <x14:id>{BB4BD298-7152-4025-BFF3-8757C3D7A28A}</x14:id>
        </ext>
      </extLst>
    </cfRule>
  </conditionalFormatting>
  <conditionalFormatting sqref="AK24">
    <cfRule type="dataBar" priority="28">
      <dataBar>
        <cfvo type="min"/>
        <cfvo type="max"/>
        <color rgb="FF638EC6"/>
      </dataBar>
      <extLst>
        <ext xmlns:x14="http://schemas.microsoft.com/office/spreadsheetml/2009/9/main" uri="{B025F937-C7B1-47D3-B67F-A62EFF666E3E}">
          <x14:id>{6EBE7BB8-B0EB-4A82-BC0B-EB43C57AB5DE}</x14:id>
        </ext>
      </extLst>
    </cfRule>
  </conditionalFormatting>
  <conditionalFormatting sqref="AP19 AN19">
    <cfRule type="colorScale" priority="27">
      <colorScale>
        <cfvo type="min"/>
        <cfvo type="percentile" val="50"/>
        <cfvo type="max"/>
        <color rgb="FFF8696B"/>
        <color rgb="FFFFEB84"/>
        <color rgb="FF63BE7B"/>
      </colorScale>
    </cfRule>
  </conditionalFormatting>
  <conditionalFormatting sqref="V15:V42 BYV30 AE22:AK22 AJ21:AK21 AE24:AK42 AO24:AO42 BYV36:BYV42 AM42 AM24:AM40 AQ24:AR42">
    <cfRule type="dataBar" priority="43">
      <dataBar>
        <cfvo type="min"/>
        <cfvo type="max"/>
        <color rgb="FFFFB628"/>
      </dataBar>
      <extLst>
        <ext xmlns:x14="http://schemas.microsoft.com/office/spreadsheetml/2009/9/main" uri="{B025F937-C7B1-47D3-B67F-A62EFF666E3E}">
          <x14:id>{AD9114C0-26CC-480F-9EEC-1FBCA4F9B0DC}</x14:id>
        </ext>
      </extLst>
    </cfRule>
  </conditionalFormatting>
  <conditionalFormatting sqref="AO44">
    <cfRule type="dataBar" priority="11">
      <dataBar>
        <cfvo type="min"/>
        <cfvo type="max"/>
        <color rgb="FFFFB628"/>
      </dataBar>
      <extLst>
        <ext xmlns:x14="http://schemas.microsoft.com/office/spreadsheetml/2009/9/main" uri="{B025F937-C7B1-47D3-B67F-A62EFF666E3E}">
          <x14:id>{AD38D29A-F354-46D2-872C-95F28762B2C9}</x14:id>
        </ext>
      </extLst>
    </cfRule>
  </conditionalFormatting>
  <conditionalFormatting sqref="AP11:AP12">
    <cfRule type="iconSet" priority="9">
      <iconSet>
        <cfvo type="percent" val="0"/>
        <cfvo type="num" val="0.25"/>
        <cfvo type="num" val="0.75"/>
      </iconSet>
    </cfRule>
    <cfRule type="iconSet" priority="10">
      <iconSet>
        <cfvo type="percent" val="0"/>
        <cfvo type="percent" val="25"/>
        <cfvo type="percent" val="75"/>
      </iconSet>
    </cfRule>
  </conditionalFormatting>
  <conditionalFormatting sqref="AL24">
    <cfRule type="iconSet" priority="8">
      <iconSet>
        <cfvo type="percent" val="0"/>
        <cfvo type="num" val="50"/>
        <cfvo type="num" val="75"/>
      </iconSet>
    </cfRule>
  </conditionalFormatting>
  <conditionalFormatting sqref="AL26">
    <cfRule type="iconSet" priority="7">
      <iconSet>
        <cfvo type="percent" val="0"/>
        <cfvo type="num" val="50"/>
        <cfvo type="num" val="75"/>
      </iconSet>
    </cfRule>
  </conditionalFormatting>
  <conditionalFormatting sqref="AL28">
    <cfRule type="iconSet" priority="6">
      <iconSet>
        <cfvo type="percent" val="0"/>
        <cfvo type="num" val="50"/>
        <cfvo type="num" val="75"/>
      </iconSet>
    </cfRule>
  </conditionalFormatting>
  <conditionalFormatting sqref="AL29">
    <cfRule type="iconSet" priority="5">
      <iconSet>
        <cfvo type="percent" val="0"/>
        <cfvo type="num" val="50"/>
        <cfvo type="num" val="75"/>
      </iconSet>
    </cfRule>
  </conditionalFormatting>
  <conditionalFormatting sqref="AL30">
    <cfRule type="iconSet" priority="4">
      <iconSet>
        <cfvo type="percent" val="0"/>
        <cfvo type="num" val="50"/>
        <cfvo type="num" val="75"/>
      </iconSet>
    </cfRule>
  </conditionalFormatting>
  <conditionalFormatting sqref="AL42 AL39:AL40 AL37 AL35 AL32:AL33">
    <cfRule type="iconSet" priority="3">
      <iconSet>
        <cfvo type="percent" val="0"/>
        <cfvo type="num" val="50"/>
        <cfvo type="num" val="75"/>
      </iconSet>
    </cfRule>
  </conditionalFormatting>
  <conditionalFormatting sqref="AL24 AL26 AL28:AL30 AL32:AL33 AL35 AL37 AL39:AL40 AL42">
    <cfRule type="iconSet" priority="2">
      <iconSet>
        <cfvo type="percent" val="0"/>
        <cfvo type="num" val="26"/>
        <cfvo type="num" val="75"/>
      </iconSet>
    </cfRule>
  </conditionalFormatting>
  <dataValidations count="12">
    <dataValidation type="list" allowBlank="1" showInputMessage="1" showErrorMessage="1" sqref="N24" xr:uid="{D7AACDDF-3A56-454D-8BF8-D6FEB7EEEA36}">
      <formula1>opgverkleining</formula1>
    </dataValidation>
    <dataValidation type="list" allowBlank="1" showInputMessage="1" showErrorMessage="1" sqref="N26" xr:uid="{1289FA15-0A6A-444A-94C6-A0A949D9BBA8}">
      <formula1>levensduurverlenging</formula1>
    </dataValidation>
    <dataValidation type="list" allowBlank="1" showInputMessage="1" showErrorMessage="1" sqref="N28" xr:uid="{4C8438D5-BB36-4F7D-97E0-A8C969AA802D}">
      <formula1>restwaardehergebruik</formula1>
    </dataValidation>
    <dataValidation type="list" allowBlank="1" showInputMessage="1" showErrorMessage="1" sqref="N29" xr:uid="{F6A8A9A7-85E2-409B-B445-4E2BFEF260B5}">
      <formula1>materialendatabank</formula1>
    </dataValidation>
    <dataValidation type="list" allowBlank="1" showInputMessage="1" showErrorMessage="1" sqref="N30" xr:uid="{60CC1315-8CB1-4038-A49B-1A32B800AD7D}">
      <formula1>natuurlijkeprocessen</formula1>
    </dataValidation>
    <dataValidation type="list" allowBlank="1" showInputMessage="1" showErrorMessage="1" sqref="N32" xr:uid="{A3869529-A0DC-4B5D-938B-D40A556F20FE}">
      <formula1>herbruikbaarheid</formula1>
    </dataValidation>
    <dataValidation type="list" allowBlank="1" showInputMessage="1" showErrorMessage="1" sqref="N33" xr:uid="{130960C6-A160-467E-9A52-82FA9F15CC5B}">
      <formula1>materialenpaspoort</formula1>
    </dataValidation>
    <dataValidation type="list" allowBlank="1" showInputMessage="1" showErrorMessage="1" sqref="N35" xr:uid="{EBF1AC15-37B5-4F6E-96DD-462EAC410827}">
      <formula1>adaptatie</formula1>
    </dataValidation>
    <dataValidation type="list" allowBlank="1" showInputMessage="1" showErrorMessage="1" sqref="N37" xr:uid="{09C03BAC-6A8B-4DB4-B116-0A8E4ACEA5AA}">
      <formula1>beheeronderhoud</formula1>
    </dataValidation>
    <dataValidation type="list" allowBlank="1" showInputMessage="1" showErrorMessage="1" sqref="N39" xr:uid="{CC789BF3-D79F-47A0-A183-A697AEA0523A}">
      <formula1>mki</formula1>
    </dataValidation>
    <dataValidation type="list" allowBlank="1" showInputMessage="1" showErrorMessage="1" sqref="N40" xr:uid="{48F3105C-42BC-41B1-806B-79C20E4C4217}">
      <formula1>circulariteit</formula1>
    </dataValidation>
    <dataValidation type="list" allowBlank="1" showInputMessage="1" showErrorMessage="1" sqref="N42" xr:uid="{83C30E68-F4E8-4D12-8DAF-72F91FF5A960}">
      <formula1>co2berekening</formula1>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dataBar" id="{A7094DEE-9E17-4A5C-B4E4-E4ED226A2208}">
            <x14:dataBar minLength="0" maxLength="100" border="1" negativeBarBorderColorSameAsPositive="0">
              <x14:cfvo type="autoMin"/>
              <x14:cfvo type="autoMax"/>
              <x14:borderColor rgb="FF638EC6"/>
              <x14:negativeFillColor rgb="FFFF0000"/>
              <x14:negativeBorderColor rgb="FFFF0000"/>
              <x14:axisColor rgb="FF000000"/>
            </x14:dataBar>
          </x14:cfRule>
          <xm:sqref>AE24:AJ24 AE26:AK26</xm:sqref>
        </x14:conditionalFormatting>
        <x14:conditionalFormatting xmlns:xm="http://schemas.microsoft.com/office/excel/2006/main">
          <x14:cfRule type="dataBar" id="{36AE1157-17A3-4A97-97ED-115F3B407444}">
            <x14:dataBar minLength="0" maxLength="100" border="1" negativeBarBorderColorSameAsPositive="0">
              <x14:cfvo type="autoMin"/>
              <x14:cfvo type="autoMax"/>
              <x14:borderColor rgb="FF638EC6"/>
              <x14:negativeFillColor rgb="FFFF0000"/>
              <x14:negativeBorderColor rgb="FFFF0000"/>
              <x14:axisColor rgb="FF000000"/>
            </x14:dataBar>
          </x14:cfRule>
          <xm:sqref>AE22:AI22 AE28:AK30 AE32:AK33 AE35:AK35 AE37:AK37 AE39:AK40 AE42:AK42</xm:sqref>
        </x14:conditionalFormatting>
        <x14:conditionalFormatting xmlns:xm="http://schemas.microsoft.com/office/excel/2006/main">
          <x14:cfRule type="dataBar" id="{4BECD52E-85B3-4A5E-B1A0-061C56290AAE}">
            <x14:dataBar minLength="0" maxLength="100" border="1" negativeBarBorderColorSameAsPositive="0">
              <x14:cfvo type="autoMin"/>
              <x14:cfvo type="autoMax"/>
              <x14:borderColor rgb="FF638EC6"/>
              <x14:negativeFillColor rgb="FFFF0000"/>
              <x14:negativeBorderColor rgb="FFFF0000"/>
              <x14:axisColor rgb="FF000000"/>
            </x14:dataBar>
          </x14:cfRule>
          <xm:sqref>AE24:AJ24 AE26:AK26 AE28:AK28 AE22:AK22</xm:sqref>
        </x14:conditionalFormatting>
        <x14:conditionalFormatting xmlns:xm="http://schemas.microsoft.com/office/excel/2006/main">
          <x14:cfRule type="dataBar" id="{E62A2A9B-5E75-461B-8DAC-BF397D014665}">
            <x14:dataBar minLength="0" maxLength="100" gradient="0">
              <x14:cfvo type="autoMin"/>
              <x14:cfvo type="autoMax"/>
              <x14:negativeFillColor rgb="FFFF0000"/>
              <x14:axisColor rgb="FF000000"/>
            </x14:dataBar>
          </x14:cfRule>
          <xm:sqref>AE26:AE42</xm:sqref>
        </x14:conditionalFormatting>
        <x14:conditionalFormatting xmlns:xm="http://schemas.microsoft.com/office/excel/2006/main">
          <x14:cfRule type="dataBar" id="{78716815-F582-4D1F-BA11-3A51FC16E8C0}">
            <x14:dataBar minLength="0" maxLength="100" gradient="0">
              <x14:cfvo type="autoMin"/>
              <x14:cfvo type="autoMax"/>
              <x14:negativeFillColor rgb="FFFF0000"/>
              <x14:axisColor rgb="FF000000"/>
            </x14:dataBar>
          </x14:cfRule>
          <xm:sqref>AE24</xm:sqref>
        </x14:conditionalFormatting>
        <x14:conditionalFormatting xmlns:xm="http://schemas.microsoft.com/office/excel/2006/main">
          <x14:cfRule type="dataBar" id="{13655970-1671-46D9-90C8-1D7EC3436B14}">
            <x14:dataBar minLength="0" maxLength="100" gradient="0">
              <x14:cfvo type="autoMin"/>
              <x14:cfvo type="autoMax"/>
              <x14:negativeFillColor rgb="FFFF0000"/>
              <x14:axisColor rgb="FF000000"/>
            </x14:dataBar>
          </x14:cfRule>
          <xm:sqref>AE24</xm:sqref>
        </x14:conditionalFormatting>
        <x14:conditionalFormatting xmlns:xm="http://schemas.microsoft.com/office/excel/2006/main">
          <x14:cfRule type="dataBar" id="{9A2DEC42-EE89-4495-90FB-1EA91E2FE22E}">
            <x14:dataBar minLength="0" maxLength="100" gradient="0">
              <x14:cfvo type="autoMin"/>
              <x14:cfvo type="autoMax"/>
              <x14:negativeFillColor rgb="FFFF0000"/>
              <x14:axisColor rgb="FF000000"/>
            </x14:dataBar>
          </x14:cfRule>
          <xm:sqref>AE22:AE42</xm:sqref>
        </x14:conditionalFormatting>
        <x14:conditionalFormatting xmlns:xm="http://schemas.microsoft.com/office/excel/2006/main">
          <x14:cfRule type="dataBar" id="{B6B7B672-D71C-4410-8C7B-2133F64B12A9}">
            <x14:dataBar minLength="0" maxLength="100" gradient="0">
              <x14:cfvo type="autoMin"/>
              <x14:cfvo type="autoMax"/>
              <x14:negativeFillColor rgb="FFFF0000"/>
              <x14:axisColor rgb="FF000000"/>
            </x14:dataBar>
          </x14:cfRule>
          <x14:cfRule type="dataBar" id="{C6259094-CC05-4A55-A1E4-2183D8660959}">
            <x14:dataBar minLength="0" maxLength="100" gradient="0">
              <x14:cfvo type="autoMin"/>
              <x14:cfvo type="autoMax"/>
              <x14:negativeFillColor rgb="FFFF0000"/>
              <x14:axisColor rgb="FF000000"/>
            </x14:dataBar>
          </x14:cfRule>
          <xm:sqref>AE21:AE42</xm:sqref>
        </x14:conditionalFormatting>
        <x14:conditionalFormatting xmlns:xm="http://schemas.microsoft.com/office/excel/2006/main">
          <x14:cfRule type="dataBar" id="{02F4BB3C-5408-4C58-92AC-1BBD655750BE}">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548D8419-34C9-4A77-9204-9742298A0BA7}">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D40147DE-7C5F-4421-984D-1FB00ABF7BBA}">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4C74F9D4-BFFF-45F0-A94B-A20B4D5B2A6C}">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BB4BD298-7152-4025-BFF3-8757C3D7A28A}">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6EBE7BB8-B0EB-4A82-BC0B-EB43C57AB5DE}">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AD9114C0-26CC-480F-9EEC-1FBCA4F9B0DC}">
            <x14:dataBar minLength="0" maxLength="100" border="1" negativeBarBorderColorSameAsPositive="0">
              <x14:cfvo type="autoMin"/>
              <x14:cfvo type="autoMax"/>
              <x14:borderColor rgb="FFFFB628"/>
              <x14:negativeFillColor rgb="FFFF0000"/>
              <x14:negativeBorderColor rgb="FFFF0000"/>
              <x14:axisColor rgb="FF000000"/>
            </x14:dataBar>
          </x14:cfRule>
          <xm:sqref>V15:V42 BYV30 AE22:AK22 AJ21:AK21 AE24:AK42 AO24:AO42 BYV36:BYV42 AM42 AM24:AM40 AQ24:AR42</xm:sqref>
        </x14:conditionalFormatting>
        <x14:conditionalFormatting xmlns:xm="http://schemas.microsoft.com/office/excel/2006/main">
          <x14:cfRule type="dataBar" id="{AD38D29A-F354-46D2-872C-95F28762B2C9}">
            <x14:dataBar minLength="0" maxLength="100" border="1" negativeBarBorderColorSameAsPositive="0">
              <x14:cfvo type="autoMin"/>
              <x14:cfvo type="autoMax"/>
              <x14:borderColor rgb="FFFFB628"/>
              <x14:negativeFillColor rgb="FFFF0000"/>
              <x14:negativeBorderColor rgb="FFFF0000"/>
              <x14:axisColor rgb="FF000000"/>
            </x14:dataBar>
          </x14:cfRule>
          <xm:sqref>AO44</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AB59B-F104-4999-B38F-E87BB2D0639D}">
  <sheetPr>
    <tabColor rgb="FF600000"/>
  </sheetPr>
  <dimension ref="A1:CAC88"/>
  <sheetViews>
    <sheetView showGridLines="0" showRowColHeaders="0" zoomScale="55" zoomScaleNormal="55" workbookViewId="0">
      <selection activeCell="N7" sqref="N7"/>
    </sheetView>
  </sheetViews>
  <sheetFormatPr defaultRowHeight="14.4" x14ac:dyDescent="0.3"/>
  <cols>
    <col min="1" max="9" width="1.6640625" customWidth="1"/>
    <col min="10" max="10" width="89.33203125" style="1" customWidth="1"/>
    <col min="11" max="11" width="6.33203125" bestFit="1" customWidth="1"/>
    <col min="12" max="12" width="39.109375" customWidth="1"/>
    <col min="13" max="13" width="2.77734375" customWidth="1"/>
    <col min="14" max="14" width="134.6640625" customWidth="1"/>
    <col min="15" max="15" width="1.6640625" customWidth="1"/>
    <col min="16" max="30" width="5.6640625" hidden="1" customWidth="1"/>
    <col min="31" max="31" width="8.33203125" hidden="1" customWidth="1"/>
    <col min="32" max="36" width="5.6640625" hidden="1" customWidth="1"/>
    <col min="37" max="37" width="7.6640625" hidden="1" customWidth="1"/>
    <col min="38" max="38" width="28" customWidth="1"/>
    <col min="39" max="39" width="2.6640625" hidden="1" customWidth="1"/>
    <col min="40" max="40" width="8.33203125" style="108" customWidth="1"/>
    <col min="41" max="41" width="2.6640625" hidden="1" customWidth="1"/>
    <col min="42" max="42" width="18.6640625" style="109" customWidth="1"/>
    <col min="43" max="43" width="5.6640625" customWidth="1"/>
    <col min="44" max="44" width="97" customWidth="1"/>
    <col min="45" max="46" width="8.88671875" customWidth="1"/>
    <col min="47" max="47" width="8.6640625" customWidth="1"/>
    <col min="48" max="48" width="21.6640625" customWidth="1"/>
    <col min="49" max="50" width="8.88671875" customWidth="1"/>
    <col min="51" max="51" width="8.6640625" customWidth="1"/>
    <col min="52" max="52" width="21.6640625" customWidth="1"/>
    <col min="53" max="54" width="8.88671875" customWidth="1"/>
    <col min="55" max="55" width="8.6640625" customWidth="1"/>
    <col min="56" max="56" width="21.6640625" customWidth="1"/>
    <col min="57" max="63" width="8.88671875" customWidth="1"/>
    <col min="64" max="64" width="26.88671875" hidden="1" customWidth="1"/>
    <col min="65" max="66" width="1.6640625" style="207" hidden="1" customWidth="1"/>
    <col min="67" max="67" width="5.33203125" style="207" hidden="1" customWidth="1"/>
    <col min="68" max="68" width="8.88671875" hidden="1" customWidth="1"/>
    <col min="69" max="69" width="8.88671875" customWidth="1"/>
    <col min="2023" max="2059" width="1.77734375" customWidth="1"/>
  </cols>
  <sheetData>
    <row r="1" spans="1:67 2022:2057" ht="69" customHeight="1" thickBot="1" x14ac:dyDescent="0.35">
      <c r="BYT1" s="299"/>
      <c r="BYU1" s="299"/>
      <c r="BYV1" s="299"/>
      <c r="BYW1" s="299"/>
      <c r="BYX1" s="299"/>
      <c r="BYY1" s="299"/>
      <c r="BYZ1" s="299"/>
      <c r="BZA1" s="299"/>
      <c r="BZB1" s="299"/>
      <c r="BZC1" s="299"/>
      <c r="BZD1" s="299"/>
      <c r="BZE1" s="299"/>
      <c r="BZF1" s="299"/>
      <c r="BZG1" s="299"/>
      <c r="BZH1" s="299"/>
      <c r="BZI1" s="299"/>
      <c r="BZJ1" s="299"/>
      <c r="BZK1" s="299"/>
      <c r="BZL1" s="299"/>
      <c r="BZM1" s="299"/>
      <c r="BZN1" s="299"/>
      <c r="BZO1" s="299"/>
      <c r="BZP1" s="299"/>
      <c r="BZQ1" s="299"/>
      <c r="BZR1" s="299"/>
      <c r="BZS1" s="299"/>
      <c r="BZT1" s="299"/>
      <c r="BZU1" s="299"/>
      <c r="BZV1" s="299"/>
      <c r="BZW1" s="299"/>
      <c r="BZX1" s="299"/>
      <c r="BZY1" s="299"/>
      <c r="BZZ1" s="277"/>
      <c r="CAA1" s="278"/>
      <c r="CAB1" s="278"/>
      <c r="CAC1" s="279"/>
    </row>
    <row r="2" spans="1:67 2022:2057" ht="91.8" x14ac:dyDescent="1.65">
      <c r="K2" s="291"/>
      <c r="L2" s="550"/>
      <c r="M2" s="267"/>
      <c r="N2" s="550" t="s">
        <v>18</v>
      </c>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74"/>
      <c r="AN2" s="303"/>
      <c r="AO2" s="304"/>
      <c r="AP2" s="371"/>
      <c r="BYT2" s="299"/>
      <c r="BYU2" s="299"/>
      <c r="BYV2" s="299"/>
      <c r="BYW2" s="299"/>
      <c r="BYX2" s="299"/>
      <c r="BYY2" s="299"/>
      <c r="BYZ2" s="299"/>
      <c r="BZA2" s="299"/>
      <c r="BZB2" s="299"/>
      <c r="BZC2" s="299"/>
      <c r="BZD2" s="299"/>
      <c r="BZE2" s="299"/>
      <c r="BZF2" s="299"/>
      <c r="BZG2" s="299"/>
      <c r="BZH2" s="299"/>
      <c r="BZI2" s="299"/>
      <c r="BZJ2" s="299"/>
      <c r="BZK2" s="299"/>
      <c r="BZL2" s="299"/>
      <c r="BZM2" s="299"/>
      <c r="BZN2" s="299"/>
      <c r="BZO2" s="299"/>
      <c r="BZP2" s="299"/>
      <c r="BZQ2" s="299"/>
      <c r="BZR2" s="299"/>
      <c r="BZS2" s="299"/>
      <c r="BZT2" s="299"/>
      <c r="BZU2" s="299"/>
      <c r="BZV2" s="299"/>
      <c r="BZW2" s="299"/>
      <c r="BZX2" s="299"/>
      <c r="BZY2" s="299"/>
      <c r="BZZ2" s="280"/>
      <c r="CAA2" s="281"/>
      <c r="CAB2" s="281"/>
      <c r="CAC2" s="282"/>
    </row>
    <row r="3" spans="1:67 2022:2057" ht="34.200000000000003" thickBot="1" x14ac:dyDescent="0.7">
      <c r="K3" s="292"/>
      <c r="L3" s="647"/>
      <c r="M3" s="164"/>
      <c r="N3" s="647" t="s">
        <v>19</v>
      </c>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275"/>
      <c r="AN3" s="301"/>
      <c r="AO3" s="302"/>
      <c r="AP3" s="379"/>
      <c r="BYT3" s="299"/>
      <c r="BYU3" s="299"/>
      <c r="BYV3" s="299"/>
      <c r="BYW3" s="299"/>
      <c r="BYX3" s="299"/>
      <c r="BYY3" s="299"/>
      <c r="BYZ3" s="299"/>
      <c r="BZA3" s="299"/>
      <c r="BZB3" s="299"/>
      <c r="BZC3" s="299"/>
      <c r="BZD3" s="299"/>
      <c r="BZE3" s="299"/>
      <c r="BZF3" s="299"/>
      <c r="BZG3" s="299"/>
      <c r="BZH3" s="299"/>
      <c r="BZI3" s="299"/>
      <c r="BZJ3" s="299"/>
      <c r="BZK3" s="299"/>
      <c r="BZL3" s="299"/>
      <c r="BZM3" s="299"/>
      <c r="BZN3" s="299"/>
      <c r="BZO3" s="299"/>
      <c r="BZP3" s="299"/>
      <c r="BZQ3" s="299"/>
      <c r="BZR3" s="299"/>
      <c r="BZS3" s="299"/>
      <c r="BZT3" s="299"/>
      <c r="BZU3" s="299"/>
      <c r="BZV3" s="299"/>
      <c r="BZW3" s="299"/>
      <c r="BZX3" s="299"/>
      <c r="BZY3" s="299"/>
      <c r="BZZ3" s="280"/>
      <c r="CAA3" s="281"/>
      <c r="CAB3" s="281"/>
      <c r="CAC3" s="282"/>
    </row>
    <row r="4" spans="1:67 2022:2057" ht="15.6" x14ac:dyDescent="0.3">
      <c r="K4" s="291"/>
      <c r="L4" s="305" t="s">
        <v>21</v>
      </c>
      <c r="M4" s="682" t="str">
        <f>IF(N4="","         voer hier de projectnaam in","")</f>
        <v/>
      </c>
      <c r="N4" s="841" t="str">
        <f>'invoer Basis'!N4</f>
        <v>Projectnaam</v>
      </c>
      <c r="O4" s="267"/>
      <c r="P4" s="267"/>
      <c r="Q4" s="267"/>
      <c r="R4" s="267"/>
      <c r="S4" s="267"/>
      <c r="T4" s="267"/>
      <c r="U4" s="267"/>
      <c r="V4" s="267"/>
      <c r="W4" s="267"/>
      <c r="X4" s="267"/>
      <c r="Y4" s="267"/>
      <c r="Z4" s="267"/>
      <c r="AA4" s="267"/>
      <c r="AB4" s="267"/>
      <c r="AC4" s="267"/>
      <c r="AD4" s="267"/>
      <c r="AE4" s="267"/>
      <c r="AF4" s="267"/>
      <c r="AG4" s="267"/>
      <c r="AH4" s="267"/>
      <c r="AI4" s="267"/>
      <c r="AJ4" s="267"/>
      <c r="AK4" s="267"/>
      <c r="AL4" s="698"/>
      <c r="AM4" s="698"/>
      <c r="AN4" s="702"/>
      <c r="AO4" s="304"/>
      <c r="AP4" s="703"/>
      <c r="BYT4" s="299"/>
      <c r="BYU4" s="299"/>
      <c r="BYV4" s="299"/>
      <c r="BYW4" s="299"/>
      <c r="BYX4" s="299"/>
      <c r="BYY4" s="299"/>
      <c r="BYZ4" s="299"/>
      <c r="BZA4" s="299"/>
      <c r="BZB4" s="299"/>
      <c r="BZC4" s="299"/>
      <c r="BZD4" s="299"/>
      <c r="BZE4" s="299"/>
      <c r="BZF4" s="299"/>
      <c r="BZG4" s="299"/>
      <c r="BZH4" s="299"/>
      <c r="BZI4" s="299"/>
      <c r="BZJ4" s="299"/>
      <c r="BZK4" s="299"/>
      <c r="BZL4" s="299"/>
      <c r="BZM4" s="299"/>
      <c r="BZN4" s="299"/>
      <c r="BZO4" s="299"/>
      <c r="BZP4" s="299"/>
      <c r="BZQ4" s="299"/>
      <c r="BZR4" s="299"/>
      <c r="BZS4" s="299"/>
      <c r="BZT4" s="299"/>
      <c r="BZU4" s="299"/>
      <c r="BZV4" s="299"/>
      <c r="BZW4" s="299"/>
      <c r="BZX4" s="299"/>
      <c r="BZY4" s="299"/>
      <c r="BZZ4" s="280"/>
      <c r="CAA4" s="281"/>
      <c r="CAB4" s="281"/>
      <c r="CAC4" s="282"/>
    </row>
    <row r="5" spans="1:67 2022:2057" ht="15.6" x14ac:dyDescent="0.3">
      <c r="K5" s="275"/>
      <c r="L5" s="305" t="s">
        <v>313</v>
      </c>
      <c r="M5" s="682" t="str">
        <f>IF(N5="","         voer hier de naam van de opdrachtgever in","")</f>
        <v/>
      </c>
      <c r="N5" s="841" t="str">
        <f>'invoer Basis'!N5</f>
        <v>Naam opdrachtgever</v>
      </c>
      <c r="O5" s="20"/>
      <c r="P5" s="20"/>
      <c r="Q5" s="20"/>
      <c r="R5" s="20"/>
      <c r="S5" s="20"/>
      <c r="T5" s="20"/>
      <c r="U5" s="20"/>
      <c r="V5" s="20"/>
      <c r="W5" s="20"/>
      <c r="X5" s="20"/>
      <c r="Y5" s="20"/>
      <c r="Z5" s="20"/>
      <c r="AA5" s="20"/>
      <c r="AB5" s="20"/>
      <c r="AC5" s="20"/>
      <c r="AD5" s="20"/>
      <c r="AE5" s="20"/>
      <c r="AF5" s="20"/>
      <c r="AG5" s="20"/>
      <c r="AH5" s="20"/>
      <c r="AI5" s="20"/>
      <c r="AJ5" s="20"/>
      <c r="AK5" s="20"/>
      <c r="AL5" s="167"/>
      <c r="AM5" s="167"/>
      <c r="AN5" s="183"/>
      <c r="AO5" s="20"/>
      <c r="AP5" s="707" t="s">
        <v>372</v>
      </c>
      <c r="BYT5" s="299"/>
      <c r="BYU5" s="299"/>
      <c r="BYV5" s="299"/>
      <c r="BYW5" s="299"/>
      <c r="BYX5" s="299"/>
      <c r="BYY5" s="299"/>
      <c r="BYZ5" s="299"/>
      <c r="BZA5" s="299"/>
      <c r="BZB5" s="299"/>
      <c r="BZC5" s="299"/>
      <c r="BZD5" s="299"/>
      <c r="BZE5" s="299"/>
      <c r="BZF5" s="299"/>
      <c r="BZG5" s="299"/>
      <c r="BZH5" s="299"/>
      <c r="BZI5" s="299"/>
      <c r="BZJ5" s="299"/>
      <c r="BZK5" s="299"/>
      <c r="BZL5" s="299"/>
      <c r="BZM5" s="299"/>
      <c r="BZN5" s="299"/>
      <c r="BZO5" s="299"/>
      <c r="BZP5" s="299"/>
      <c r="BZQ5" s="299"/>
      <c r="BZR5" s="299"/>
      <c r="BZS5" s="299"/>
      <c r="BZT5" s="299"/>
      <c r="BZU5" s="299"/>
      <c r="BZV5" s="299"/>
      <c r="BZW5" s="299"/>
      <c r="BZX5" s="299"/>
      <c r="BZY5" s="299"/>
      <c r="BZZ5" s="280"/>
      <c r="CAA5" s="281"/>
      <c r="CAB5" s="281"/>
      <c r="CAC5" s="282"/>
    </row>
    <row r="6" spans="1:67 2022:2057" ht="15.6" x14ac:dyDescent="0.3">
      <c r="K6" s="275"/>
      <c r="L6" s="305" t="s">
        <v>316</v>
      </c>
      <c r="M6" s="682" t="str">
        <f>IF(N6="","         voer hier de locatie van het project in","")</f>
        <v/>
      </c>
      <c r="N6" s="841" t="str">
        <f>'invoer Basis'!N6</f>
        <v>Plaatsnaam</v>
      </c>
      <c r="O6" s="20"/>
      <c r="P6" s="20"/>
      <c r="Q6" s="20"/>
      <c r="R6" s="20"/>
      <c r="S6" s="20"/>
      <c r="T6" s="20"/>
      <c r="U6" s="20"/>
      <c r="V6" s="20"/>
      <c r="W6" s="20"/>
      <c r="X6" s="20"/>
      <c r="Y6" s="20"/>
      <c r="Z6" s="20"/>
      <c r="AA6" s="20"/>
      <c r="AB6" s="20"/>
      <c r="AC6" s="20"/>
      <c r="AD6" s="20"/>
      <c r="AE6" s="20"/>
      <c r="AF6" s="20"/>
      <c r="AG6" s="20"/>
      <c r="AH6" s="20"/>
      <c r="AI6" s="20"/>
      <c r="AJ6" s="20"/>
      <c r="AK6" s="20"/>
      <c r="AL6" s="167"/>
      <c r="AM6" s="694"/>
      <c r="AN6" s="686"/>
      <c r="AO6" s="687"/>
      <c r="AP6" s="704" t="s">
        <v>661</v>
      </c>
      <c r="BYT6" s="299"/>
      <c r="BYU6" s="299"/>
      <c r="BYV6" s="299"/>
      <c r="BYW6" s="299"/>
      <c r="BYX6" s="299"/>
      <c r="BYY6" s="299"/>
      <c r="BYZ6" s="299"/>
      <c r="BZA6" s="299"/>
      <c r="BZB6" s="299"/>
      <c r="BZC6" s="299"/>
      <c r="BZD6" s="299"/>
      <c r="BZE6" s="299"/>
      <c r="BZF6" s="299"/>
      <c r="BZG6" s="299"/>
      <c r="BZH6" s="299"/>
      <c r="BZI6" s="299"/>
      <c r="BZJ6" s="299"/>
      <c r="BZK6" s="299"/>
      <c r="BZL6" s="299"/>
      <c r="BZM6" s="299"/>
      <c r="BZN6" s="299"/>
      <c r="BZO6" s="299"/>
      <c r="BZP6" s="299"/>
      <c r="BZQ6" s="299"/>
      <c r="BZR6" s="299"/>
      <c r="BZS6" s="299"/>
      <c r="BZT6" s="299"/>
      <c r="BZU6" s="299"/>
      <c r="BZV6" s="299"/>
      <c r="BZW6" s="299"/>
      <c r="BZX6" s="299"/>
      <c r="BZY6" s="299"/>
      <c r="BZZ6" s="280"/>
      <c r="CAA6" s="281"/>
      <c r="CAB6" s="281"/>
      <c r="CAC6" s="282"/>
    </row>
    <row r="7" spans="1:67 2022:2057" ht="15.6" x14ac:dyDescent="0.3">
      <c r="K7" s="275"/>
      <c r="L7" s="305" t="s">
        <v>317</v>
      </c>
      <c r="M7" s="684" t="str">
        <f>IF(N7="","         voer hier de naam van het berekende alternatief in","")</f>
        <v/>
      </c>
      <c r="N7" s="741" t="s">
        <v>434</v>
      </c>
      <c r="O7" s="20"/>
      <c r="P7" s="20"/>
      <c r="Q7" s="20"/>
      <c r="R7" s="20"/>
      <c r="S7" s="20"/>
      <c r="T7" s="20"/>
      <c r="U7" s="20"/>
      <c r="V7" s="20"/>
      <c r="W7" s="20"/>
      <c r="X7" s="20"/>
      <c r="Y7" s="20"/>
      <c r="Z7" s="20"/>
      <c r="AA7" s="20"/>
      <c r="AB7" s="20"/>
      <c r="AC7" s="20"/>
      <c r="AD7" s="20"/>
      <c r="AE7" s="20"/>
      <c r="AF7" s="20"/>
      <c r="AG7" s="20"/>
      <c r="AH7" s="20"/>
      <c r="AI7" s="20"/>
      <c r="AJ7" s="20"/>
      <c r="AK7" s="20"/>
      <c r="AL7" s="167"/>
      <c r="AM7" s="167"/>
      <c r="AN7" s="183"/>
      <c r="AO7" s="20"/>
      <c r="AP7" s="617"/>
      <c r="BYT7" s="299"/>
      <c r="BYU7" s="299"/>
      <c r="BYV7" s="299"/>
      <c r="BYW7" s="299"/>
      <c r="BYX7" s="299"/>
      <c r="BYY7" s="299"/>
      <c r="BYZ7" s="299"/>
      <c r="BZA7" s="299"/>
      <c r="BZB7" s="299"/>
      <c r="BZC7" s="299"/>
      <c r="BZD7" s="299"/>
      <c r="BZE7" s="299"/>
      <c r="BZF7" s="299"/>
      <c r="BZG7" s="299"/>
      <c r="BZH7" s="299"/>
      <c r="BZI7" s="299"/>
      <c r="BZJ7" s="299"/>
      <c r="BZK7" s="299"/>
      <c r="BZL7" s="299"/>
      <c r="BZM7" s="299"/>
      <c r="BZN7" s="299"/>
      <c r="BZO7" s="299"/>
      <c r="BZP7" s="299"/>
      <c r="BZQ7" s="299"/>
      <c r="BZR7" s="299"/>
      <c r="BZS7" s="299"/>
      <c r="BZT7" s="299"/>
      <c r="BZU7" s="299"/>
      <c r="BZV7" s="299"/>
      <c r="BZW7" s="299"/>
      <c r="BZX7" s="299"/>
      <c r="BZY7" s="299"/>
      <c r="BZZ7" s="280"/>
      <c r="CAA7" s="281"/>
      <c r="CAB7" s="281"/>
      <c r="CAC7" s="282"/>
    </row>
    <row r="8" spans="1:67 2022:2057" ht="15.6" x14ac:dyDescent="0.3">
      <c r="K8" s="275"/>
      <c r="L8" s="305" t="s">
        <v>315</v>
      </c>
      <c r="M8" s="683"/>
      <c r="N8" s="840" t="str">
        <f>'invoer Basis'!$N$8</f>
        <v>verkenningsfase</v>
      </c>
      <c r="O8" s="20"/>
      <c r="P8" s="20"/>
      <c r="Q8" s="20"/>
      <c r="R8" s="20"/>
      <c r="S8" s="20"/>
      <c r="T8" s="20"/>
      <c r="U8" s="20"/>
      <c r="V8" s="20"/>
      <c r="W8" s="20"/>
      <c r="X8" s="20"/>
      <c r="Y8" s="20"/>
      <c r="Z8" s="20"/>
      <c r="AA8" s="20"/>
      <c r="AB8" s="20"/>
      <c r="AC8" s="20"/>
      <c r="AD8" s="20"/>
      <c r="AE8" s="20"/>
      <c r="AF8" s="20"/>
      <c r="AG8" s="20"/>
      <c r="AH8" s="20"/>
      <c r="AI8" s="20"/>
      <c r="AJ8" s="20"/>
      <c r="AK8" s="20"/>
      <c r="AL8" s="167"/>
      <c r="AM8" s="167"/>
      <c r="AN8" s="183"/>
      <c r="AO8" s="302"/>
      <c r="AP8" s="617"/>
      <c r="BYT8" s="299"/>
      <c r="BYU8" s="299"/>
      <c r="BYV8" s="299"/>
      <c r="BYW8" s="299"/>
      <c r="BYX8" s="299"/>
      <c r="BYY8" s="299"/>
      <c r="BYZ8" s="299"/>
      <c r="BZA8" s="299"/>
      <c r="BZB8" s="299"/>
      <c r="BZC8" s="299"/>
      <c r="BZD8" s="299"/>
      <c r="BZE8" s="299"/>
      <c r="BZF8" s="299"/>
      <c r="BZG8" s="299"/>
      <c r="BZH8" s="299"/>
      <c r="BZI8" s="299"/>
      <c r="BZJ8" s="299"/>
      <c r="BZK8" s="299"/>
      <c r="BZL8" s="299"/>
      <c r="BZM8" s="299"/>
      <c r="BZN8" s="299"/>
      <c r="BZO8" s="299"/>
      <c r="BZP8" s="299"/>
      <c r="BZQ8" s="299"/>
      <c r="BZR8" s="299"/>
      <c r="BZS8" s="299"/>
      <c r="BZT8" s="299"/>
      <c r="BZU8" s="299"/>
      <c r="BZV8" s="299"/>
      <c r="BZW8" s="299"/>
      <c r="BZX8" s="299"/>
      <c r="BZY8" s="299"/>
      <c r="BZZ8" s="280"/>
      <c r="CAA8" s="281"/>
      <c r="CAB8" s="281"/>
      <c r="CAC8" s="282"/>
    </row>
    <row r="9" spans="1:67 2022:2057" ht="15.6" x14ac:dyDescent="0.3">
      <c r="K9" s="275"/>
      <c r="L9" s="305"/>
      <c r="M9" s="681"/>
      <c r="N9" s="743" t="str">
        <f>IF(N8="","klik op het blauwe vlak en selecteer via het pull down menu de te beoordelen fase waarin het project zich bevindt (t.b.v. bepaling weegfactoren)","")</f>
        <v/>
      </c>
      <c r="O9" s="20"/>
      <c r="P9" s="20"/>
      <c r="Q9" s="20"/>
      <c r="R9" s="20"/>
      <c r="S9" s="20"/>
      <c r="T9" s="20"/>
      <c r="U9" s="20"/>
      <c r="V9" s="20"/>
      <c r="W9" s="20"/>
      <c r="X9" s="20"/>
      <c r="Y9" s="20"/>
      <c r="Z9" s="20"/>
      <c r="AA9" s="20"/>
      <c r="AB9" s="20"/>
      <c r="AC9" s="20"/>
      <c r="AD9" s="20"/>
      <c r="AE9" s="20"/>
      <c r="AF9" s="20"/>
      <c r="AG9" s="20"/>
      <c r="AH9" s="20"/>
      <c r="AI9" s="20"/>
      <c r="AJ9" s="20"/>
      <c r="AK9" s="20"/>
      <c r="AL9" s="167"/>
      <c r="AM9" s="694"/>
      <c r="AN9" s="688"/>
      <c r="AO9" s="687"/>
      <c r="AP9" s="707" t="s">
        <v>20</v>
      </c>
      <c r="BYT9" s="299"/>
      <c r="BYU9" s="299"/>
      <c r="BYV9" s="299"/>
      <c r="BYW9" s="299"/>
      <c r="BYX9" s="299"/>
      <c r="BYY9" s="299"/>
      <c r="BYZ9" s="299"/>
      <c r="BZA9" s="299"/>
      <c r="BZB9" s="299"/>
      <c r="BZC9" s="299"/>
      <c r="BZD9" s="299"/>
      <c r="BZE9" s="299"/>
      <c r="BZF9" s="299"/>
      <c r="BZG9" s="299"/>
      <c r="BZH9" s="299"/>
      <c r="BZI9" s="299"/>
      <c r="BZJ9" s="299"/>
      <c r="BZK9" s="299"/>
      <c r="BZL9" s="299"/>
      <c r="BZM9" s="299"/>
      <c r="BZN9" s="299"/>
      <c r="BZO9" s="299"/>
      <c r="BZP9" s="299"/>
      <c r="BZQ9" s="299"/>
      <c r="BZR9" s="299"/>
      <c r="BZS9" s="299"/>
      <c r="BZT9" s="299"/>
      <c r="BZU9" s="299"/>
      <c r="BZV9" s="299"/>
      <c r="BZW9" s="299"/>
      <c r="BZX9" s="299"/>
      <c r="BZY9" s="299"/>
      <c r="BZZ9" s="280"/>
      <c r="CAA9" s="281"/>
      <c r="CAB9" s="281"/>
      <c r="CAC9" s="282"/>
    </row>
    <row r="10" spans="1:67 2022:2057" ht="15.6" x14ac:dyDescent="0.3">
      <c r="K10" s="275"/>
      <c r="L10" s="305" t="s">
        <v>23</v>
      </c>
      <c r="M10" s="552" t="str">
        <f>IF(N10="","         klik op dit vlak om tekst in te voeren","")</f>
        <v/>
      </c>
      <c r="N10" s="739" t="s">
        <v>449</v>
      </c>
      <c r="O10" s="20"/>
      <c r="P10" s="20"/>
      <c r="Q10" s="20"/>
      <c r="R10" s="20"/>
      <c r="S10" s="20"/>
      <c r="T10" s="20"/>
      <c r="U10" s="20"/>
      <c r="V10" s="20"/>
      <c r="W10" s="20"/>
      <c r="X10" s="20"/>
      <c r="Y10" s="20"/>
      <c r="Z10" s="20"/>
      <c r="AA10" s="20"/>
      <c r="AB10" s="20"/>
      <c r="AC10" s="20"/>
      <c r="AD10" s="20"/>
      <c r="AE10" s="20"/>
      <c r="AF10" s="20"/>
      <c r="AG10" s="20"/>
      <c r="AH10" s="20"/>
      <c r="AI10" s="20"/>
      <c r="AJ10" s="20"/>
      <c r="AK10" s="20"/>
      <c r="AL10" s="167"/>
      <c r="AM10" s="694"/>
      <c r="AN10" s="689"/>
      <c r="AO10" s="687"/>
      <c r="AP10" s="704">
        <v>18012022</v>
      </c>
      <c r="BYT10" s="299"/>
      <c r="BYU10" s="299"/>
      <c r="BYV10" s="299"/>
      <c r="BYW10" s="299"/>
      <c r="BYX10" s="299"/>
      <c r="BYY10" s="299"/>
      <c r="BYZ10" s="299"/>
      <c r="BZA10" s="299"/>
      <c r="BZB10" s="299"/>
      <c r="BZC10" s="299"/>
      <c r="BZD10" s="299"/>
      <c r="BZE10" s="299"/>
      <c r="BZF10" s="299"/>
      <c r="BZG10" s="299"/>
      <c r="BZH10" s="299"/>
      <c r="BZI10" s="299"/>
      <c r="BZJ10" s="299"/>
      <c r="BZK10" s="299"/>
      <c r="BZL10" s="299"/>
      <c r="BZM10" s="299"/>
      <c r="BZN10" s="299"/>
      <c r="BZO10" s="299"/>
      <c r="BZP10" s="299"/>
      <c r="BZQ10" s="299"/>
      <c r="BZR10" s="299"/>
      <c r="BZS10" s="299"/>
      <c r="BZT10" s="299"/>
      <c r="BZU10" s="299"/>
      <c r="BZV10" s="299"/>
      <c r="BZW10" s="299"/>
      <c r="BZX10" s="299"/>
      <c r="BZY10" s="299"/>
      <c r="BZZ10" s="280"/>
      <c r="CAA10" s="281"/>
      <c r="CAB10" s="281"/>
      <c r="CAC10" s="282"/>
    </row>
    <row r="11" spans="1:67 2022:2057" ht="15.6" x14ac:dyDescent="0.3">
      <c r="K11" s="275"/>
      <c r="L11" s="305" t="s">
        <v>24</v>
      </c>
      <c r="M11" s="552" t="str">
        <f>IF(N11="","         klik op dit vlak om tekst in te voeren","")</f>
        <v/>
      </c>
      <c r="N11" s="774" t="s">
        <v>450</v>
      </c>
      <c r="O11" s="20"/>
      <c r="P11" s="20"/>
      <c r="Q11" s="20"/>
      <c r="R11" s="20"/>
      <c r="S11" s="20"/>
      <c r="T11" s="20"/>
      <c r="U11" s="20"/>
      <c r="V11" s="20"/>
      <c r="W11" s="20"/>
      <c r="X11" s="20"/>
      <c r="Y11" s="20"/>
      <c r="Z11" s="20"/>
      <c r="AA11" s="20"/>
      <c r="AB11" s="20"/>
      <c r="AC11" s="20"/>
      <c r="AD11" s="20"/>
      <c r="AE11" s="20"/>
      <c r="AF11" s="20"/>
      <c r="AG11" s="20"/>
      <c r="AH11" s="20"/>
      <c r="AI11" s="20"/>
      <c r="AJ11" s="20"/>
      <c r="AK11" s="20"/>
      <c r="AL11" s="167"/>
      <c r="AM11" s="694"/>
      <c r="AN11" s="689"/>
      <c r="AO11" s="687"/>
      <c r="AP11" s="705"/>
      <c r="BYT11" s="299"/>
      <c r="BYU11" s="299"/>
      <c r="BYV11" s="299"/>
      <c r="BYW11" s="299"/>
      <c r="BYX11" s="299"/>
      <c r="BYY11" s="299"/>
      <c r="BYZ11" s="299"/>
      <c r="BZA11" s="299"/>
      <c r="BZB11" s="299"/>
      <c r="BZC11" s="299"/>
      <c r="BZD11" s="299"/>
      <c r="BZE11" s="299"/>
      <c r="BZF11" s="299"/>
      <c r="BZG11" s="299"/>
      <c r="BZH11" s="299"/>
      <c r="BZI11" s="299"/>
      <c r="BZJ11" s="299"/>
      <c r="BZK11" s="299"/>
      <c r="BZL11" s="299"/>
      <c r="BZM11" s="299"/>
      <c r="BZN11" s="299"/>
      <c r="BZO11" s="299"/>
      <c r="BZP11" s="299"/>
      <c r="BZQ11" s="299"/>
      <c r="BZR11" s="299"/>
      <c r="BZS11" s="299"/>
      <c r="BZT11" s="299"/>
      <c r="BZU11" s="299"/>
      <c r="BZV11" s="299"/>
      <c r="BZW11" s="299"/>
      <c r="BZX11" s="299"/>
      <c r="BZY11" s="299"/>
      <c r="BZZ11" s="280"/>
      <c r="CAA11" s="281"/>
      <c r="CAB11" s="281"/>
      <c r="CAC11" s="282"/>
    </row>
    <row r="12" spans="1:67 2022:2057" ht="16.2" thickBot="1" x14ac:dyDescent="0.35">
      <c r="K12" s="276"/>
      <c r="L12" s="306" t="s">
        <v>25</v>
      </c>
      <c r="M12" s="556" t="str">
        <f>IF(N12="","         klik op dit vlak om tekst in te voeren","")</f>
        <v/>
      </c>
      <c r="N12" s="744" t="s">
        <v>451</v>
      </c>
      <c r="O12" s="164"/>
      <c r="P12" s="164"/>
      <c r="Q12" s="164"/>
      <c r="R12" s="164"/>
      <c r="S12" s="164"/>
      <c r="T12" s="164"/>
      <c r="U12" s="164"/>
      <c r="V12" s="164"/>
      <c r="W12" s="164"/>
      <c r="X12" s="164"/>
      <c r="Y12" s="164"/>
      <c r="Z12" s="164"/>
      <c r="AA12" s="164"/>
      <c r="AB12" s="164"/>
      <c r="AC12" s="164"/>
      <c r="AD12" s="164"/>
      <c r="AE12" s="164"/>
      <c r="AF12" s="164"/>
      <c r="AG12" s="164"/>
      <c r="AH12" s="164"/>
      <c r="AI12" s="164"/>
      <c r="AJ12" s="164"/>
      <c r="AK12" s="164"/>
      <c r="AL12" s="700"/>
      <c r="AM12" s="701"/>
      <c r="AN12" s="690"/>
      <c r="AO12" s="691"/>
      <c r="AP12" s="706"/>
      <c r="BYT12" s="299"/>
      <c r="BYU12" s="299"/>
      <c r="BYV12" s="299"/>
      <c r="BYW12" s="299"/>
      <c r="BYX12" s="299"/>
      <c r="BYY12" s="299"/>
      <c r="BYZ12" s="299"/>
      <c r="BZA12" s="299"/>
      <c r="BZB12" s="299"/>
      <c r="BZC12" s="299"/>
      <c r="BZD12" s="299"/>
      <c r="BZE12" s="299"/>
      <c r="BZF12" s="299"/>
      <c r="BZG12" s="299"/>
      <c r="BZH12" s="299"/>
      <c r="BZI12" s="299"/>
      <c r="BZJ12" s="299"/>
      <c r="BZK12" s="299"/>
      <c r="BZL12" s="299"/>
      <c r="BZM12" s="299"/>
      <c r="BZN12" s="299"/>
      <c r="BZO12" s="299"/>
      <c r="BZP12" s="299"/>
      <c r="BZQ12" s="299"/>
      <c r="BZR12" s="299"/>
      <c r="BZS12" s="299"/>
      <c r="BZT12" s="299"/>
      <c r="BZU12" s="299"/>
      <c r="BZV12" s="299"/>
      <c r="BZW12" s="299"/>
      <c r="BZX12" s="299"/>
      <c r="BZY12" s="299"/>
      <c r="BZZ12" s="280"/>
      <c r="CAA12" s="281"/>
      <c r="CAB12" s="281"/>
      <c r="CAC12" s="282"/>
    </row>
    <row r="13" spans="1:67 2022:2057" ht="14.4" customHeight="1" x14ac:dyDescent="0.3">
      <c r="N13" s="544"/>
      <c r="BYT13" s="299"/>
      <c r="BYU13" s="299"/>
      <c r="BYV13" s="299"/>
      <c r="BYW13" s="299"/>
      <c r="BYX13" s="299"/>
      <c r="BYY13" s="299"/>
      <c r="BYZ13" s="299"/>
      <c r="BZA13" s="299"/>
      <c r="BZB13" s="299"/>
      <c r="BZC13" s="299"/>
      <c r="BZD13" s="299"/>
      <c r="BZE13" s="299"/>
      <c r="BZF13" s="299"/>
      <c r="BZG13" s="299"/>
      <c r="BZH13" s="299"/>
      <c r="BZI13" s="299"/>
      <c r="BZJ13" s="299"/>
      <c r="BZK13" s="299"/>
      <c r="BZL13" s="299"/>
      <c r="BZM13" s="299"/>
      <c r="BZN13" s="299"/>
      <c r="BZO13" s="299"/>
      <c r="BZP13" s="299"/>
      <c r="BZQ13" s="299"/>
      <c r="BZR13" s="299"/>
      <c r="BZS13" s="299"/>
      <c r="BZT13" s="299"/>
      <c r="BZU13" s="299"/>
      <c r="BZV13" s="299"/>
      <c r="BZW13" s="299"/>
      <c r="BZX13" s="299"/>
      <c r="BZY13" s="299"/>
      <c r="BZZ13" s="280"/>
      <c r="CAA13" s="281"/>
      <c r="CAB13" s="281"/>
      <c r="CAC13" s="282"/>
    </row>
    <row r="14" spans="1:67 2022:2057" s="372" customFormat="1" ht="14.4" hidden="1" customHeight="1" x14ac:dyDescent="0.3">
      <c r="J14" s="373"/>
      <c r="L14" s="557"/>
      <c r="M14" s="555"/>
      <c r="N14" s="544" t="s">
        <v>26</v>
      </c>
      <c r="AN14" s="374"/>
      <c r="AP14" s="618"/>
      <c r="BM14" s="375"/>
      <c r="BN14" s="375"/>
      <c r="BO14" s="375"/>
      <c r="BYT14" s="659"/>
      <c r="BYU14" s="659"/>
      <c r="BYV14" s="659"/>
      <c r="BYW14" s="659"/>
      <c r="BYX14" s="659"/>
      <c r="BYY14" s="659"/>
      <c r="BYZ14" s="659"/>
      <c r="BZA14" s="659"/>
      <c r="BZB14" s="659"/>
      <c r="BZC14" s="659"/>
      <c r="BZD14" s="659"/>
      <c r="BZE14" s="659"/>
      <c r="BZF14" s="659"/>
      <c r="BZG14" s="659"/>
      <c r="BZH14" s="659"/>
      <c r="BZI14" s="659"/>
      <c r="BZJ14" s="659"/>
      <c r="BZK14" s="659"/>
      <c r="BZL14" s="659"/>
      <c r="BZM14" s="659"/>
      <c r="BZN14" s="659"/>
      <c r="BZO14" s="659"/>
      <c r="BZP14" s="659"/>
      <c r="BZQ14" s="659"/>
      <c r="BZR14" s="659"/>
      <c r="BZS14" s="659"/>
      <c r="BZT14" s="659"/>
      <c r="BZU14" s="659"/>
      <c r="BZV14" s="659"/>
      <c r="BZW14" s="659"/>
      <c r="BZX14" s="659"/>
      <c r="BZY14" s="659"/>
      <c r="BZZ14" s="376"/>
      <c r="CAA14" s="377"/>
      <c r="CAB14" s="377"/>
      <c r="CAC14" s="378"/>
    </row>
    <row r="15" spans="1:67 2022:2057" ht="14.4" hidden="1" customHeight="1" x14ac:dyDescent="0.3">
      <c r="I15" s="1"/>
      <c r="N15" s="545" t="s">
        <v>27</v>
      </c>
      <c r="V15" s="5"/>
      <c r="W15" t="s">
        <v>28</v>
      </c>
      <c r="AE15" s="111">
        <f t="shared" ref="AE15:AK15" si="0">BZK64</f>
        <v>0</v>
      </c>
      <c r="AF15" s="111">
        <f t="shared" si="0"/>
        <v>1</v>
      </c>
      <c r="AG15" s="111">
        <f t="shared" si="0"/>
        <v>0</v>
      </c>
      <c r="AH15" s="111">
        <f t="shared" si="0"/>
        <v>0</v>
      </c>
      <c r="AI15" s="111">
        <f t="shared" si="0"/>
        <v>0</v>
      </c>
      <c r="AJ15" s="111">
        <f t="shared" si="0"/>
        <v>0</v>
      </c>
      <c r="AK15" s="111">
        <f t="shared" si="0"/>
        <v>0</v>
      </c>
      <c r="BYT15" s="299"/>
      <c r="BYU15" s="299"/>
      <c r="BYV15" s="299"/>
      <c r="BYW15" s="299"/>
      <c r="BYX15" s="299"/>
      <c r="BYY15" s="299">
        <f>BZK64</f>
        <v>0</v>
      </c>
      <c r="BYZ15" s="299">
        <f>BYY15</f>
        <v>0</v>
      </c>
      <c r="BZA15" s="299"/>
      <c r="BZB15" s="299"/>
      <c r="BZC15" s="299">
        <f>BZL64</f>
        <v>1</v>
      </c>
      <c r="BZD15" s="299">
        <f>BZC15</f>
        <v>1</v>
      </c>
      <c r="BZE15" s="299"/>
      <c r="BZF15" s="299"/>
      <c r="BZG15" s="299">
        <f>BZM64</f>
        <v>0</v>
      </c>
      <c r="BZH15" s="299">
        <f>BZG15</f>
        <v>0</v>
      </c>
      <c r="BZI15" s="299"/>
      <c r="BZJ15" s="299"/>
      <c r="BZK15" s="299">
        <f>BZN64</f>
        <v>0</v>
      </c>
      <c r="BZL15" s="299">
        <f>BZK15</f>
        <v>0</v>
      </c>
      <c r="BZM15" s="299"/>
      <c r="BZN15" s="299"/>
      <c r="BZO15" s="299">
        <f>BZO64</f>
        <v>0</v>
      </c>
      <c r="BZP15" s="299">
        <f>BZO15</f>
        <v>0</v>
      </c>
      <c r="BZQ15" s="299"/>
      <c r="BZR15" s="299"/>
      <c r="BZS15" s="299">
        <f>BZP64</f>
        <v>0</v>
      </c>
      <c r="BZT15" s="299">
        <f>BZS15</f>
        <v>0</v>
      </c>
      <c r="BZU15" s="299"/>
      <c r="BZV15" s="299"/>
      <c r="BZW15" s="299">
        <f>BZQ64</f>
        <v>0</v>
      </c>
      <c r="BZX15" s="299">
        <f>BZW15</f>
        <v>0</v>
      </c>
      <c r="BZY15" s="299"/>
      <c r="BZZ15" s="280"/>
      <c r="CAA15" s="281"/>
      <c r="CAB15" s="281"/>
      <c r="CAC15" s="282"/>
    </row>
    <row r="16" spans="1:67 2022:2057" ht="14.4" hidden="1" customHeight="1" x14ac:dyDescent="0.3">
      <c r="A16" s="17" t="s">
        <v>29</v>
      </c>
      <c r="B16" s="12" t="s">
        <v>30</v>
      </c>
      <c r="C16" s="12" t="s">
        <v>31</v>
      </c>
      <c r="D16" s="12" t="s">
        <v>32</v>
      </c>
      <c r="E16" s="12" t="s">
        <v>33</v>
      </c>
      <c r="F16" s="12" t="s">
        <v>34</v>
      </c>
      <c r="G16" s="12" t="s">
        <v>35</v>
      </c>
      <c r="H16" s="12"/>
      <c r="I16" s="12"/>
      <c r="J16" s="12"/>
      <c r="K16" s="4"/>
      <c r="L16" s="4"/>
      <c r="M16" s="4"/>
      <c r="N16" s="545" t="s">
        <v>36</v>
      </c>
      <c r="V16" s="5"/>
      <c r="W16" s="3" t="s">
        <v>29</v>
      </c>
      <c r="X16" s="4" t="s">
        <v>30</v>
      </c>
      <c r="Y16" s="4" t="s">
        <v>31</v>
      </c>
      <c r="Z16" s="4" t="s">
        <v>32</v>
      </c>
      <c r="AA16" s="4" t="s">
        <v>33</v>
      </c>
      <c r="AB16" s="4" t="s">
        <v>34</v>
      </c>
      <c r="AC16" s="4" t="s">
        <v>35</v>
      </c>
      <c r="AD16" s="4" t="s">
        <v>37</v>
      </c>
      <c r="AE16" s="79" t="s">
        <v>38</v>
      </c>
      <c r="AF16" s="2" t="s">
        <v>31</v>
      </c>
      <c r="AG16" s="2" t="s">
        <v>32</v>
      </c>
      <c r="AH16" s="2" t="s">
        <v>33</v>
      </c>
      <c r="AI16" s="2" t="s">
        <v>34</v>
      </c>
      <c r="AJ16" s="2" t="s">
        <v>35</v>
      </c>
      <c r="AK16" s="2" t="s">
        <v>39</v>
      </c>
      <c r="BYT16" s="299"/>
      <c r="BYU16" s="299"/>
      <c r="BYV16" s="299"/>
      <c r="BYW16" s="299"/>
      <c r="BYX16" s="299"/>
      <c r="BYY16" s="299"/>
      <c r="BYZ16" s="299"/>
      <c r="BZA16" s="299"/>
      <c r="BZB16" s="299"/>
      <c r="BZC16" s="299"/>
      <c r="BZD16" s="299"/>
      <c r="BZE16" s="299"/>
      <c r="BZF16" s="299"/>
      <c r="BZG16" s="299"/>
      <c r="BZH16" s="299"/>
      <c r="BZI16" s="299"/>
      <c r="BZJ16" s="299"/>
      <c r="BZK16" s="299"/>
      <c r="BZL16" s="299"/>
      <c r="BZM16" s="299"/>
      <c r="BZN16" s="299"/>
      <c r="BZO16" s="299"/>
      <c r="BZP16" s="299"/>
      <c r="BZQ16" s="299"/>
      <c r="BZR16" s="299"/>
      <c r="BZS16" s="299"/>
      <c r="BZT16" s="299"/>
      <c r="BZU16" s="299"/>
      <c r="BZV16" s="299"/>
      <c r="BZW16" s="299"/>
      <c r="BZX16" s="299"/>
      <c r="BZY16" s="299"/>
      <c r="BZZ16" s="280"/>
      <c r="CAA16" s="281"/>
      <c r="CAB16" s="281"/>
      <c r="CAC16" s="282"/>
    </row>
    <row r="17" spans="1:47 2022:2057" ht="14.4" hidden="1" customHeight="1" x14ac:dyDescent="0.3">
      <c r="A17" s="17"/>
      <c r="B17" s="12"/>
      <c r="C17" s="12"/>
      <c r="D17" s="12"/>
      <c r="E17" s="12"/>
      <c r="F17" s="12"/>
      <c r="G17" s="12"/>
      <c r="H17" s="12"/>
      <c r="I17" s="12"/>
      <c r="J17" s="12"/>
      <c r="K17" s="4"/>
      <c r="L17" s="4"/>
      <c r="M17" s="4"/>
      <c r="N17" s="545" t="s">
        <v>314</v>
      </c>
      <c r="V17" s="5"/>
      <c r="W17" s="3"/>
      <c r="X17" s="4"/>
      <c r="Y17" s="4"/>
      <c r="Z17" s="4"/>
      <c r="AA17" s="4"/>
      <c r="AB17" s="4"/>
      <c r="AC17" s="4"/>
      <c r="AD17" s="4"/>
      <c r="AE17" s="79"/>
      <c r="AF17" s="2"/>
      <c r="AG17" s="2"/>
      <c r="AH17" s="2"/>
      <c r="AI17" s="2"/>
      <c r="AJ17" s="2"/>
      <c r="AK17" s="2"/>
      <c r="BYT17" s="299"/>
      <c r="BYU17" s="299"/>
      <c r="BYV17" s="299"/>
      <c r="BYW17" s="299"/>
      <c r="BYX17" s="299"/>
      <c r="BYY17" s="299"/>
      <c r="BYZ17" s="299"/>
      <c r="BZA17" s="299"/>
      <c r="BZB17" s="299"/>
      <c r="BZC17" s="299"/>
      <c r="BZD17" s="299"/>
      <c r="BZE17" s="299"/>
      <c r="BZF17" s="299"/>
      <c r="BZG17" s="299"/>
      <c r="BZH17" s="299"/>
      <c r="BZI17" s="299"/>
      <c r="BZJ17" s="299"/>
      <c r="BZK17" s="299"/>
      <c r="BZL17" s="299"/>
      <c r="BZM17" s="299"/>
      <c r="BZN17" s="299"/>
      <c r="BZO17" s="299"/>
      <c r="BZP17" s="299"/>
      <c r="BZQ17" s="299"/>
      <c r="BZR17" s="299"/>
      <c r="BZS17" s="299"/>
      <c r="BZT17" s="299"/>
      <c r="BZU17" s="299"/>
      <c r="BZV17" s="299"/>
      <c r="BZW17" s="299"/>
      <c r="BZX17" s="299"/>
      <c r="BZY17" s="299"/>
      <c r="BZZ17" s="280"/>
      <c r="CAA17" s="281"/>
      <c r="CAB17" s="281"/>
      <c r="CAC17" s="282"/>
    </row>
    <row r="18" spans="1:47 2022:2057" ht="14.4" hidden="1" customHeight="1" x14ac:dyDescent="0.3">
      <c r="A18" s="17"/>
      <c r="B18" s="12"/>
      <c r="C18" s="12"/>
      <c r="D18" s="12"/>
      <c r="E18" s="12"/>
      <c r="F18" s="12"/>
      <c r="G18" s="12"/>
      <c r="H18" s="12"/>
      <c r="I18" s="12"/>
      <c r="J18" s="12"/>
      <c r="K18" s="4"/>
      <c r="L18" s="4"/>
      <c r="M18" s="4"/>
      <c r="N18" s="546" t="s">
        <v>40</v>
      </c>
      <c r="V18" s="5"/>
      <c r="W18" s="3"/>
      <c r="X18" s="4"/>
      <c r="Y18" s="4"/>
      <c r="Z18" s="4"/>
      <c r="AA18" s="4"/>
      <c r="AB18" s="4"/>
      <c r="AC18" s="4"/>
      <c r="AD18" s="4"/>
      <c r="AE18" s="79"/>
      <c r="AF18" s="2"/>
      <c r="AG18" s="2"/>
      <c r="AH18" s="2"/>
      <c r="AI18" s="2"/>
      <c r="AJ18" s="2"/>
      <c r="AK18" s="2"/>
      <c r="BYT18" s="299"/>
      <c r="BYU18" s="299"/>
      <c r="BYV18" s="299"/>
      <c r="BYW18" s="299"/>
      <c r="BYX18" s="299"/>
      <c r="BYY18" s="299"/>
      <c r="BYZ18" s="299"/>
      <c r="BZA18" s="299"/>
      <c r="BZB18" s="299"/>
      <c r="BZC18" s="299"/>
      <c r="BZD18" s="299"/>
      <c r="BZE18" s="299"/>
      <c r="BZF18" s="299"/>
      <c r="BZG18" s="299"/>
      <c r="BZH18" s="299"/>
      <c r="BZI18" s="299"/>
      <c r="BZJ18" s="299"/>
      <c r="BZK18" s="299"/>
      <c r="BZL18" s="299"/>
      <c r="BZM18" s="299"/>
      <c r="BZN18" s="299"/>
      <c r="BZO18" s="299"/>
      <c r="BZP18" s="299"/>
      <c r="BZQ18" s="299"/>
      <c r="BZR18" s="299"/>
      <c r="BZS18" s="299"/>
      <c r="BZT18" s="299"/>
      <c r="BZU18" s="299"/>
      <c r="BZV18" s="299"/>
      <c r="BZW18" s="299"/>
      <c r="BZX18" s="299"/>
      <c r="BZY18" s="299"/>
      <c r="BZZ18" s="280"/>
      <c r="CAA18" s="281"/>
      <c r="CAB18" s="281"/>
      <c r="CAC18" s="282"/>
    </row>
    <row r="19" spans="1:47 2022:2057" ht="14.4" hidden="1" customHeight="1" x14ac:dyDescent="0.35">
      <c r="A19" s="17"/>
      <c r="B19" s="12"/>
      <c r="C19" s="12"/>
      <c r="D19" s="12"/>
      <c r="E19" s="12"/>
      <c r="F19" s="12"/>
      <c r="G19" s="12"/>
      <c r="H19" s="12"/>
      <c r="I19" s="12"/>
      <c r="J19" s="235" t="e">
        <f>BZJ53</f>
        <v>#N/A</v>
      </c>
      <c r="K19" s="4"/>
      <c r="L19" s="4"/>
      <c r="M19" s="4"/>
      <c r="N19" s="545" t="s">
        <v>41</v>
      </c>
      <c r="V19" s="5"/>
      <c r="W19" s="3"/>
      <c r="X19" s="4"/>
      <c r="Y19" s="4"/>
      <c r="Z19" s="4"/>
      <c r="AA19" s="4"/>
      <c r="AB19" s="4"/>
      <c r="AC19" s="4"/>
      <c r="AD19" s="4"/>
      <c r="AE19" s="79"/>
      <c r="AF19" s="2"/>
      <c r="AG19" s="2"/>
      <c r="AH19" s="2"/>
      <c r="AI19" s="2"/>
      <c r="AJ19" s="2"/>
      <c r="AK19" s="2"/>
      <c r="AN19" s="17">
        <v>0</v>
      </c>
      <c r="AO19" s="1"/>
      <c r="AP19" s="619">
        <v>100</v>
      </c>
      <c r="BYT19" s="299"/>
      <c r="BYU19" s="299"/>
      <c r="BYV19" s="299"/>
      <c r="BYW19" s="299"/>
      <c r="BYX19" s="299"/>
      <c r="BYY19" s="299"/>
      <c r="BYZ19" s="299"/>
      <c r="BZA19" s="299"/>
      <c r="BZB19" s="299"/>
      <c r="BZC19" s="299"/>
      <c r="BZD19" s="299"/>
      <c r="BZE19" s="299"/>
      <c r="BZF19" s="299"/>
      <c r="BZG19" s="299"/>
      <c r="BZH19" s="299"/>
      <c r="BZI19" s="299"/>
      <c r="BZJ19" s="299"/>
      <c r="BZK19" s="299"/>
      <c r="BZL19" s="299"/>
      <c r="BZM19" s="299"/>
      <c r="BZN19" s="299"/>
      <c r="BZO19" s="299"/>
      <c r="BZP19" s="299"/>
      <c r="BZQ19" s="299"/>
      <c r="BZR19" s="299"/>
      <c r="BZS19" s="299"/>
      <c r="BZT19" s="299"/>
      <c r="BZU19" s="299"/>
      <c r="BZV19" s="299"/>
      <c r="BZW19" s="299"/>
      <c r="BZX19" s="299"/>
      <c r="BZY19" s="299"/>
      <c r="BZZ19" s="280"/>
      <c r="CAA19" s="281"/>
      <c r="CAB19" s="281"/>
      <c r="CAC19" s="282"/>
    </row>
    <row r="20" spans="1:47 2022:2057" hidden="1" x14ac:dyDescent="0.3">
      <c r="A20" s="298"/>
      <c r="B20" s="299"/>
      <c r="C20" s="299"/>
      <c r="D20" s="299"/>
      <c r="E20" s="299"/>
      <c r="F20" s="299"/>
      <c r="G20" s="299"/>
      <c r="H20" s="299"/>
      <c r="I20" s="299"/>
      <c r="J20" s="232" t="str">
        <f>'print Basis'!$G$10&amp;" "&amp;'print Basis'!G8</f>
        <v>invoer Basis Projectnaam</v>
      </c>
      <c r="K20" s="4"/>
      <c r="L20" s="4"/>
      <c r="M20" s="4"/>
      <c r="N20" s="547" t="s">
        <v>42</v>
      </c>
      <c r="V20" s="5"/>
      <c r="W20" s="3"/>
      <c r="X20" s="110">
        <f t="shared" ref="X20:AD20" si="1">BZK64</f>
        <v>0</v>
      </c>
      <c r="Y20" s="110">
        <f t="shared" si="1"/>
        <v>1</v>
      </c>
      <c r="Z20" s="110">
        <f t="shared" si="1"/>
        <v>0</v>
      </c>
      <c r="AA20" s="110">
        <f t="shared" si="1"/>
        <v>0</v>
      </c>
      <c r="AB20" s="110">
        <f t="shared" si="1"/>
        <v>0</v>
      </c>
      <c r="AC20" s="110">
        <f t="shared" si="1"/>
        <v>0</v>
      </c>
      <c r="AD20" s="110">
        <f t="shared" si="1"/>
        <v>0</v>
      </c>
      <c r="AE20" s="79" t="s">
        <v>43</v>
      </c>
      <c r="AF20" s="2"/>
      <c r="AG20" s="2"/>
      <c r="AH20" s="2"/>
      <c r="AI20" s="2"/>
      <c r="AJ20" s="2"/>
      <c r="BYT20" s="299"/>
      <c r="BYU20" s="299"/>
      <c r="BYV20" s="299"/>
      <c r="BYW20" s="299"/>
      <c r="BYX20" s="299"/>
      <c r="BYY20" s="299"/>
      <c r="BYZ20" s="299"/>
      <c r="BZA20" s="299"/>
      <c r="BZB20" s="299"/>
      <c r="BZC20" s="299"/>
      <c r="BZD20" s="299"/>
      <c r="BZE20" s="299"/>
      <c r="BZF20" s="299"/>
      <c r="BZG20" s="299"/>
      <c r="BZH20" s="299"/>
      <c r="BZI20" s="299"/>
      <c r="BZJ20" s="299"/>
      <c r="BZK20" s="299"/>
      <c r="BZL20" s="299"/>
      <c r="BZM20" s="299"/>
      <c r="BZN20" s="299"/>
      <c r="BZO20" s="299"/>
      <c r="BZP20" s="299"/>
      <c r="BZQ20" s="299"/>
      <c r="BZR20" s="299"/>
      <c r="BZS20" s="299"/>
      <c r="BZT20" s="299"/>
      <c r="BZU20" s="299"/>
      <c r="BZV20" s="299"/>
      <c r="BZW20" s="299"/>
      <c r="BZX20" s="299"/>
      <c r="BZY20" s="299"/>
      <c r="BZZ20" s="280"/>
      <c r="CAA20" s="281"/>
      <c r="CAB20" s="281"/>
      <c r="CAC20" s="282"/>
    </row>
    <row r="21" spans="1:47 2022:2057" ht="25.8" x14ac:dyDescent="0.5">
      <c r="A21" s="299"/>
      <c r="B21" s="300">
        <f>SUM(B41,B38,B36,B34,B31,B27,B25,B23)</f>
        <v>1</v>
      </c>
      <c r="C21" s="300">
        <f t="shared" ref="C21:G21" si="2">SUM(C41,C38,C36,C34,C31,C27,C25,C23)</f>
        <v>1</v>
      </c>
      <c r="D21" s="300">
        <f t="shared" si="2"/>
        <v>1</v>
      </c>
      <c r="E21" s="300">
        <f t="shared" si="2"/>
        <v>1</v>
      </c>
      <c r="F21" s="300">
        <f t="shared" si="2"/>
        <v>1</v>
      </c>
      <c r="G21" s="300">
        <f t="shared" si="2"/>
        <v>1</v>
      </c>
      <c r="H21" s="300"/>
      <c r="I21" s="300"/>
      <c r="J21" s="13"/>
      <c r="K21" s="564"/>
      <c r="L21" s="565" t="str">
        <f>'print Basis'!G8</f>
        <v>Projectnaam</v>
      </c>
      <c r="M21" s="565"/>
      <c r="N21" s="566" t="str">
        <f>"Gerealiseerd circulair doel per ontwerpprincipe in de " &amp; N8</f>
        <v>Gerealiseerd circulair doel per ontwerpprincipe in de verkenningsfase</v>
      </c>
      <c r="O21" s="567"/>
      <c r="P21" s="567"/>
      <c r="Q21" s="567"/>
      <c r="R21" s="567"/>
      <c r="S21" s="567"/>
      <c r="T21" s="567"/>
      <c r="U21" s="567"/>
      <c r="V21" s="568"/>
      <c r="W21" s="569"/>
      <c r="X21" s="570">
        <f>SUM(X41,X38,X36,X34,X31,X27,X25,X23)</f>
        <v>1</v>
      </c>
      <c r="Y21" s="570">
        <f t="shared" ref="Y21:AD21" si="3">SUM(Y41,Y38,Y36,Y34,Y31,Y27,Y25,Y23)</f>
        <v>1.0000000000000002</v>
      </c>
      <c r="Z21" s="570">
        <f t="shared" si="3"/>
        <v>1</v>
      </c>
      <c r="AA21" s="570">
        <f t="shared" si="3"/>
        <v>1</v>
      </c>
      <c r="AB21" s="570">
        <f t="shared" si="3"/>
        <v>1.0000000000000002</v>
      </c>
      <c r="AC21" s="570">
        <f t="shared" si="3"/>
        <v>1</v>
      </c>
      <c r="AD21" s="570">
        <f t="shared" si="3"/>
        <v>1</v>
      </c>
      <c r="AE21" s="571">
        <v>100</v>
      </c>
      <c r="AF21" s="572"/>
      <c r="AG21" s="572"/>
      <c r="AH21" s="572"/>
      <c r="AI21" s="572"/>
      <c r="AJ21" s="572"/>
      <c r="AK21" s="572"/>
      <c r="AL21" s="573" t="str">
        <f>'print C1'!G10</f>
        <v>C1</v>
      </c>
      <c r="AM21" s="567"/>
      <c r="AN21" s="574" t="s">
        <v>44</v>
      </c>
      <c r="AO21" s="645" t="e">
        <f>1-AP21</f>
        <v>#VALUE!</v>
      </c>
      <c r="AP21" s="775" t="str">
        <f>IF(M22=12,SUM(AP23:AP42)+AP44,"-")</f>
        <v>-</v>
      </c>
      <c r="AR21" s="646" t="s">
        <v>318</v>
      </c>
      <c r="BYT21" s="299"/>
      <c r="BYU21" s="299"/>
      <c r="BYV21" s="299"/>
      <c r="BYW21" s="299"/>
      <c r="BYX21" s="299"/>
      <c r="BYY21" s="299"/>
      <c r="BYZ21" s="299"/>
      <c r="BZA21" s="299"/>
      <c r="BZB21" s="299"/>
      <c r="BZC21" s="299"/>
      <c r="BZD21" s="299"/>
      <c r="BZE21" s="299"/>
      <c r="BZF21" s="299"/>
      <c r="BZG21" s="299"/>
      <c r="BZH21" s="299"/>
      <c r="BZI21" s="299"/>
      <c r="BZJ21" s="299"/>
      <c r="BZK21" s="299"/>
      <c r="BZL21" s="299"/>
      <c r="BZM21" s="299"/>
      <c r="BZN21" s="299"/>
      <c r="BZO21" s="299"/>
      <c r="BZP21" s="299"/>
      <c r="BZQ21" s="299"/>
      <c r="BZR21" s="299"/>
      <c r="BZS21" s="299"/>
      <c r="BZT21" s="299"/>
      <c r="BZU21" s="299"/>
      <c r="BZV21" s="299"/>
      <c r="BZW21" s="299"/>
      <c r="BZX21" s="299"/>
      <c r="BZY21" s="299"/>
      <c r="BZZ21" s="280"/>
      <c r="CAA21" s="281"/>
      <c r="CAB21" s="281"/>
      <c r="CAC21" s="282"/>
    </row>
    <row r="22" spans="1:47 2022:2057" ht="49.2" customHeight="1" x14ac:dyDescent="0.55000000000000004">
      <c r="A22" s="12"/>
      <c r="B22" s="14">
        <f>(1/8)*SUM(B24,B26,B28,B29,B30,B32,B33,B35,B37,B39,B40,B42)</f>
        <v>1</v>
      </c>
      <c r="C22" s="14">
        <f t="shared" ref="C22:G22" si="4">(1/8)*SUM(C24,C26,C28,C29,C30,C32,C33,C35,C37,C39,C40,C42)</f>
        <v>1</v>
      </c>
      <c r="D22" s="14">
        <f t="shared" si="4"/>
        <v>1</v>
      </c>
      <c r="E22" s="14">
        <f t="shared" si="4"/>
        <v>1</v>
      </c>
      <c r="F22" s="14">
        <f t="shared" si="4"/>
        <v>1</v>
      </c>
      <c r="G22" s="14">
        <f t="shared" si="4"/>
        <v>1</v>
      </c>
      <c r="H22" s="14"/>
      <c r="I22" s="14"/>
      <c r="J22" s="14"/>
      <c r="K22" s="575"/>
      <c r="L22" s="576" t="s">
        <v>45</v>
      </c>
      <c r="M22" s="748">
        <f>COUNTA(N24,N26,N28,N29,N30,N32,N33,N35,N37,N39,N40,N42)</f>
        <v>0</v>
      </c>
      <c r="N22" s="577"/>
      <c r="O22" s="167"/>
      <c r="P22" s="167"/>
      <c r="Q22" s="167"/>
      <c r="R22" s="167"/>
      <c r="S22" s="167"/>
      <c r="T22" s="167"/>
      <c r="U22" s="167"/>
      <c r="V22" s="578"/>
      <c r="W22" s="579"/>
      <c r="X22" s="580">
        <f>(1/8)*SUM(X24,X26,X28,X29,X30,X32,X33,X35,X37,X39,X40,X42)</f>
        <v>1</v>
      </c>
      <c r="Y22" s="580">
        <f t="shared" ref="Y22:AD22" si="5">(1/8)*SUM(Y24,Y26,Y28,Y29,Y30,Y32,Y33,Y35,Y37,Y39,Y40,Y42)</f>
        <v>1</v>
      </c>
      <c r="Z22" s="580">
        <f t="shared" si="5"/>
        <v>1</v>
      </c>
      <c r="AA22" s="580">
        <f t="shared" si="5"/>
        <v>1</v>
      </c>
      <c r="AB22" s="580">
        <f t="shared" si="5"/>
        <v>1</v>
      </c>
      <c r="AC22" s="580">
        <f t="shared" si="5"/>
        <v>1</v>
      </c>
      <c r="AD22" s="580">
        <f t="shared" si="5"/>
        <v>1</v>
      </c>
      <c r="AE22" s="581">
        <v>0</v>
      </c>
      <c r="AF22" s="582">
        <v>25</v>
      </c>
      <c r="AG22" s="582">
        <v>50</v>
      </c>
      <c r="AH22" s="582">
        <v>75</v>
      </c>
      <c r="AI22" s="582">
        <v>100</v>
      </c>
      <c r="AJ22" s="583"/>
      <c r="AK22" s="583"/>
      <c r="AL22" s="584" t="s">
        <v>46</v>
      </c>
      <c r="AM22" s="167"/>
      <c r="AN22" s="585" t="s">
        <v>47</v>
      </c>
      <c r="AO22" s="167"/>
      <c r="AP22" s="620" t="s">
        <v>48</v>
      </c>
      <c r="BYT22" s="299"/>
      <c r="BYU22" s="299"/>
      <c r="BYV22" s="299"/>
      <c r="BYW22" s="299"/>
      <c r="BYX22" s="299"/>
      <c r="BYY22" s="299"/>
      <c r="BYZ22" s="299"/>
      <c r="BZA22" s="299"/>
      <c r="BZB22" s="299"/>
      <c r="BZC22" s="299"/>
      <c r="BZD22" s="299"/>
      <c r="BZE22" s="299"/>
      <c r="BZF22" s="299"/>
      <c r="BZG22" s="299"/>
      <c r="BZH22" s="299"/>
      <c r="BZI22" s="299"/>
      <c r="BZJ22" s="299"/>
      <c r="BZK22" s="299"/>
      <c r="BZL22" s="299"/>
      <c r="BZM22" s="299"/>
      <c r="BZN22" s="299"/>
      <c r="BZO22" s="299"/>
      <c r="BZP22" s="299"/>
      <c r="BZQ22" s="299"/>
      <c r="BZR22" s="299"/>
      <c r="BZS22" s="299"/>
      <c r="BZT22" s="299"/>
      <c r="BZU22" s="299"/>
      <c r="BZV22" s="299"/>
      <c r="BZW22" s="299"/>
      <c r="BZX22" s="299"/>
      <c r="BZY22" s="299"/>
      <c r="BZZ22" s="280"/>
      <c r="CAA22" s="281"/>
      <c r="CAB22" s="281" t="e">
        <f>BZJ53</f>
        <v>#N/A</v>
      </c>
      <c r="CAC22" s="282"/>
    </row>
    <row r="23" spans="1:47 2022:2057" ht="21" customHeight="1" x14ac:dyDescent="0.4">
      <c r="A23" s="12"/>
      <c r="B23" s="15">
        <v>0.2</v>
      </c>
      <c r="C23" s="15">
        <v>0.15</v>
      </c>
      <c r="D23" s="15">
        <v>0.15</v>
      </c>
      <c r="E23" s="15">
        <v>0.15</v>
      </c>
      <c r="F23" s="15">
        <v>0.05</v>
      </c>
      <c r="G23" s="15">
        <v>0.01</v>
      </c>
      <c r="H23" s="15"/>
      <c r="I23" s="15"/>
      <c r="J23" s="15"/>
      <c r="K23" s="558">
        <v>1</v>
      </c>
      <c r="L23" s="559" t="s">
        <v>49</v>
      </c>
      <c r="M23" s="560"/>
      <c r="N23" s="561"/>
      <c r="O23" s="20"/>
      <c r="P23" s="20"/>
      <c r="Q23" s="20"/>
      <c r="R23" s="20"/>
      <c r="S23" s="20"/>
      <c r="T23" s="20"/>
      <c r="U23" s="20">
        <v>1</v>
      </c>
      <c r="V23" s="128"/>
      <c r="W23" s="7">
        <f t="shared" ref="W23:W42" si="6">X23*$X$20+Y23*$Y$20+Z23*$Z$20+AA23*$AA$20+AB23*$AB$20+AC23*$AC$20+AD23*$AD$20</f>
        <v>0.27</v>
      </c>
      <c r="X23" s="21">
        <f>'info weging'!B8</f>
        <v>0.3</v>
      </c>
      <c r="Y23" s="21">
        <f>'info weging'!C8</f>
        <v>0.27</v>
      </c>
      <c r="Z23" s="21">
        <f>'info weging'!D8</f>
        <v>0.15</v>
      </c>
      <c r="AA23" s="21">
        <f>'info weging'!E8</f>
        <v>0.15</v>
      </c>
      <c r="AB23" s="21">
        <f>'info weging'!F8</f>
        <v>0.05</v>
      </c>
      <c r="AC23" s="21">
        <f>'info weging'!G8</f>
        <v>0.01</v>
      </c>
      <c r="AD23" s="21">
        <f>'info weging'!H8</f>
        <v>0.125</v>
      </c>
      <c r="AE23" s="104"/>
      <c r="AF23" s="58"/>
      <c r="AG23" s="58"/>
      <c r="AH23" s="58"/>
      <c r="AI23" s="58"/>
      <c r="AJ23" s="59"/>
      <c r="AK23" s="59"/>
      <c r="AL23" s="562"/>
      <c r="AM23" s="20"/>
      <c r="AN23" s="201">
        <f>'print Basis'!P18</f>
        <v>0.27</v>
      </c>
      <c r="AO23" s="20"/>
      <c r="AP23" s="621" t="e">
        <f>AN23*(AL24*AN24)</f>
        <v>#VALUE!</v>
      </c>
      <c r="AR23" s="20"/>
      <c r="BYT23" s="299"/>
      <c r="BYU23" s="299"/>
      <c r="BYV23" s="299"/>
      <c r="BYW23" s="299"/>
      <c r="BYX23" s="299" t="s">
        <v>50</v>
      </c>
      <c r="BYY23" s="299" t="e">
        <f>"berekening CP="&amp;N49</f>
        <v>#N/A</v>
      </c>
      <c r="BYZ23" s="299" t="s">
        <v>51</v>
      </c>
      <c r="BZA23" s="299"/>
      <c r="BZB23" s="299" t="s">
        <v>31</v>
      </c>
      <c r="BZC23" s="299" t="s">
        <v>52</v>
      </c>
      <c r="BZD23" s="299" t="s">
        <v>53</v>
      </c>
      <c r="BZE23" s="299"/>
      <c r="BZF23" s="299" t="s">
        <v>32</v>
      </c>
      <c r="BZG23" s="299" t="s">
        <v>52</v>
      </c>
      <c r="BZH23" s="299" t="s">
        <v>54</v>
      </c>
      <c r="BZI23" s="299"/>
      <c r="BZJ23" s="299" t="s">
        <v>33</v>
      </c>
      <c r="BZK23" s="299" t="s">
        <v>52</v>
      </c>
      <c r="BZL23" s="299" t="s">
        <v>55</v>
      </c>
      <c r="BZM23" s="299"/>
      <c r="BZN23" s="299" t="s">
        <v>34</v>
      </c>
      <c r="BZO23" s="299" t="s">
        <v>52</v>
      </c>
      <c r="BZP23" s="299" t="s">
        <v>56</v>
      </c>
      <c r="BZQ23" s="299"/>
      <c r="BZR23" s="299" t="s">
        <v>35</v>
      </c>
      <c r="BZS23" s="299" t="s">
        <v>52</v>
      </c>
      <c r="BZT23" s="299" t="s">
        <v>57</v>
      </c>
      <c r="BZU23" s="299"/>
      <c r="BZV23" s="299" t="str">
        <f>AK16</f>
        <v>eigen waarde</v>
      </c>
      <c r="BZW23" s="299" t="s">
        <v>52</v>
      </c>
      <c r="BZX23" s="299" t="s">
        <v>58</v>
      </c>
      <c r="BZY23" s="299"/>
      <c r="BZZ23" s="280"/>
      <c r="CAA23" s="281"/>
      <c r="CAB23" s="281" t="str">
        <f>N7</f>
        <v>C1</v>
      </c>
      <c r="CAC23" s="282" t="s">
        <v>59</v>
      </c>
    </row>
    <row r="24" spans="1:47 2022:2057" ht="88.2" customHeight="1" x14ac:dyDescent="0.4">
      <c r="A24" s="12"/>
      <c r="B24" s="16">
        <v>1</v>
      </c>
      <c r="C24" s="16">
        <v>1</v>
      </c>
      <c r="D24" s="16">
        <v>1</v>
      </c>
      <c r="E24" s="16">
        <v>1</v>
      </c>
      <c r="F24" s="16">
        <v>1</v>
      </c>
      <c r="G24" s="16">
        <v>1</v>
      </c>
      <c r="H24" s="16"/>
      <c r="I24" s="16"/>
      <c r="J24" s="16"/>
      <c r="K24" s="452" t="s">
        <v>60</v>
      </c>
      <c r="L24" s="549" t="s">
        <v>61</v>
      </c>
      <c r="M24" s="551" t="str">
        <f>IF(N24="","         klik hier op linkermuisknop + selecteer via het pull down menu het gerealiseerd circulaire doel","")</f>
        <v xml:space="preserve">         klik hier op linkermuisknop + selecteer via het pull down menu het gerealiseerd circulaire doel</v>
      </c>
      <c r="N24" s="210"/>
      <c r="O24" s="20"/>
      <c r="P24" s="20"/>
      <c r="Q24" s="20"/>
      <c r="R24" s="20"/>
      <c r="S24" s="20"/>
      <c r="T24" s="20"/>
      <c r="U24" s="20"/>
      <c r="V24" s="128"/>
      <c r="W24" s="7">
        <f t="shared" si="6"/>
        <v>1</v>
      </c>
      <c r="X24" s="24">
        <f>'info weging'!B9</f>
        <v>1</v>
      </c>
      <c r="Y24" s="24">
        <f>'info weging'!C9</f>
        <v>1</v>
      </c>
      <c r="Z24" s="24">
        <f>'info weging'!D9</f>
        <v>1</v>
      </c>
      <c r="AA24" s="24">
        <f>'info weging'!E9</f>
        <v>1</v>
      </c>
      <c r="AB24" s="24">
        <f>'info weging'!F9</f>
        <v>1</v>
      </c>
      <c r="AC24" s="25">
        <f>'info weging'!G9</f>
        <v>1</v>
      </c>
      <c r="AD24" s="25">
        <f>'info weging'!H9</f>
        <v>1</v>
      </c>
      <c r="AE24" s="97" t="e">
        <f>VLOOKUP(N24,'info weging'!$A$36:$H$163,2,FALSE)</f>
        <v>#N/A</v>
      </c>
      <c r="AF24" s="8" t="e">
        <f>VLOOKUP(N24,'info weging'!$A$36:$H$163,3,FALSE)</f>
        <v>#N/A</v>
      </c>
      <c r="AG24" s="8" t="e">
        <f>VLOOKUP(N24,'info weging'!$A$36:$H$163,4,FALSE)</f>
        <v>#N/A</v>
      </c>
      <c r="AH24" s="8" t="e">
        <f>VLOOKUP(N24,'info weging'!$A$36:$H$163,5,FALSE)</f>
        <v>#N/A</v>
      </c>
      <c r="AI24" s="8" t="e">
        <f>VLOOKUP(N24,'info weging'!$A$36:$H$163,6,FALSE)</f>
        <v>#N/A</v>
      </c>
      <c r="AJ24" s="9" t="e">
        <f>VLOOKUP(N24,'info weging'!$A$36:$H$163,7,FALSE)</f>
        <v>#N/A</v>
      </c>
      <c r="AK24" s="9" t="e">
        <f>VLOOKUP(N24,'info weging'!$A$36:$H$163,8,FALSE)</f>
        <v>#N/A</v>
      </c>
      <c r="AL24" s="260" t="str">
        <f>IF(COUNTA(N24)=1,AE24*$AE$15+AF24*$AF$15+AG24*$AG$15+AH24*$AH$15+AI24*$AI$15+AJ24*$AJ$15+AK24*$AK$15,"----")</f>
        <v>----</v>
      </c>
      <c r="AM24" s="128"/>
      <c r="AN24" s="127">
        <f>'print Basis'!P19</f>
        <v>1</v>
      </c>
      <c r="AO24" s="128"/>
      <c r="AP24" s="622"/>
      <c r="AQ24" s="5"/>
      <c r="AR24" s="778"/>
      <c r="AS24" s="20"/>
      <c r="AT24" s="20"/>
      <c r="AU24" s="20"/>
      <c r="BYT24" s="299"/>
      <c r="BYU24" s="299"/>
      <c r="BYV24" s="665" t="s">
        <v>63</v>
      </c>
      <c r="BYW24" s="661" t="s">
        <v>60</v>
      </c>
      <c r="BYX24" s="661" t="s">
        <v>64</v>
      </c>
      <c r="BYY24" s="666" t="e">
        <f>AE24*X23*X24</f>
        <v>#N/A</v>
      </c>
      <c r="BYZ24" s="666">
        <f>100*X24*X23</f>
        <v>30</v>
      </c>
      <c r="BZA24" s="660"/>
      <c r="BZB24" s="661" t="s">
        <v>64</v>
      </c>
      <c r="BZC24" s="666" t="e">
        <f>AF24*Y23*Y24</f>
        <v>#N/A</v>
      </c>
      <c r="BZD24" s="666">
        <f>100*Y24*Y23</f>
        <v>27</v>
      </c>
      <c r="BZE24" s="660"/>
      <c r="BZF24" s="661" t="s">
        <v>64</v>
      </c>
      <c r="BZG24" s="666" t="e">
        <f>AG24*Z23*Z24</f>
        <v>#N/A</v>
      </c>
      <c r="BZH24" s="666">
        <f>100*Z24*Z23</f>
        <v>15</v>
      </c>
      <c r="BZI24" s="660"/>
      <c r="BZJ24" s="661" t="s">
        <v>64</v>
      </c>
      <c r="BZK24" s="666" t="e">
        <f>AH24*AA23*AA24</f>
        <v>#N/A</v>
      </c>
      <c r="BZL24" s="666">
        <f>100*AA24*AA23</f>
        <v>15</v>
      </c>
      <c r="BZM24" s="660"/>
      <c r="BZN24" s="661" t="s">
        <v>64</v>
      </c>
      <c r="BZO24" s="666" t="e">
        <f>AI24*AB23*AB24</f>
        <v>#N/A</v>
      </c>
      <c r="BZP24" s="666">
        <f>100*G24*G23</f>
        <v>1</v>
      </c>
      <c r="BZQ24" s="660"/>
      <c r="BZR24" s="661" t="s">
        <v>64</v>
      </c>
      <c r="BZS24" s="661" t="e">
        <f>AJ24*AC23*AC24</f>
        <v>#N/A</v>
      </c>
      <c r="BZT24" s="661">
        <f>100*AC24*AC23</f>
        <v>1</v>
      </c>
      <c r="BZU24" s="299"/>
      <c r="BZV24" s="661" t="s">
        <v>64</v>
      </c>
      <c r="BZW24" s="661" t="e">
        <f>AK24*AD24*AD23</f>
        <v>#N/A</v>
      </c>
      <c r="BZX24" s="661">
        <f>100*AD24*AD23</f>
        <v>12.5</v>
      </c>
      <c r="BZY24" s="299"/>
      <c r="BZZ24" s="280"/>
      <c r="CAA24" s="281" t="str">
        <f>BZV24</f>
        <v>verklein opgave</v>
      </c>
      <c r="CAB24" s="283" t="e">
        <f t="shared" ref="CAB24:CAC35" si="7">BYY24*$BYY$15+BZC24*$BZC$15+BZG24*$BZG$15+BZK24*$BZK$15+BZO24*$BZO$15+BZS24*$BZS$15+BZW24*$BZW$15</f>
        <v>#N/A</v>
      </c>
      <c r="CAC24" s="284">
        <f t="shared" si="7"/>
        <v>27</v>
      </c>
    </row>
    <row r="25" spans="1:47 2022:2057" ht="21" customHeight="1" x14ac:dyDescent="0.4">
      <c r="A25" s="12"/>
      <c r="B25" s="15">
        <v>0.17</v>
      </c>
      <c r="C25" s="15">
        <v>0.15</v>
      </c>
      <c r="D25" s="15">
        <v>0.15</v>
      </c>
      <c r="E25" s="15">
        <v>0.12</v>
      </c>
      <c r="F25" s="15">
        <v>0.125</v>
      </c>
      <c r="G25" s="15">
        <v>0.2</v>
      </c>
      <c r="H25" s="15"/>
      <c r="I25" s="15"/>
      <c r="J25" s="15"/>
      <c r="K25" s="89">
        <v>2</v>
      </c>
      <c r="L25" s="95" t="s">
        <v>65</v>
      </c>
      <c r="M25" s="91"/>
      <c r="N25" s="238"/>
      <c r="O25" s="20"/>
      <c r="P25" s="20"/>
      <c r="Q25" s="20"/>
      <c r="R25" s="20"/>
      <c r="S25" s="20"/>
      <c r="T25" s="20"/>
      <c r="U25" s="20">
        <v>2</v>
      </c>
      <c r="V25" s="128"/>
      <c r="W25" s="7">
        <f t="shared" si="6"/>
        <v>7.0000000000000007E-2</v>
      </c>
      <c r="X25" s="22">
        <f>'info weging'!B10</f>
        <v>0.25</v>
      </c>
      <c r="Y25" s="22">
        <f>'info weging'!C10</f>
        <v>7.0000000000000007E-2</v>
      </c>
      <c r="Z25" s="22">
        <f>'info weging'!D10</f>
        <v>7.0000000000000007E-2</v>
      </c>
      <c r="AA25" s="22">
        <f>'info weging'!E10</f>
        <v>0.05</v>
      </c>
      <c r="AB25" s="22">
        <f>'info weging'!F10</f>
        <v>0.05</v>
      </c>
      <c r="AC25" s="23">
        <f>'info weging'!G10</f>
        <v>0.25</v>
      </c>
      <c r="AD25" s="23">
        <f>'info weging'!H10</f>
        <v>0.125</v>
      </c>
      <c r="AE25" s="90"/>
      <c r="AF25" s="60"/>
      <c r="AG25" s="60"/>
      <c r="AH25" s="60"/>
      <c r="AI25" s="60"/>
      <c r="AJ25" s="61"/>
      <c r="AK25" s="61"/>
      <c r="AL25" s="117"/>
      <c r="AM25" s="128"/>
      <c r="AN25" s="201">
        <f>'print Basis'!P20</f>
        <v>7.0000000000000007E-2</v>
      </c>
      <c r="AO25" s="128"/>
      <c r="AP25" s="621" t="e">
        <f>AN25*(AL26*AN26)</f>
        <v>#VALUE!</v>
      </c>
      <c r="AQ25" s="5"/>
      <c r="AR25" s="779"/>
      <c r="AS25" s="20"/>
      <c r="AT25" s="20"/>
      <c r="AU25" s="20"/>
      <c r="BYT25" s="299"/>
      <c r="BYU25" s="299"/>
      <c r="BYV25" s="665" t="s">
        <v>66</v>
      </c>
      <c r="BYW25" s="661" t="s">
        <v>60</v>
      </c>
      <c r="BYX25" s="661" t="s">
        <v>67</v>
      </c>
      <c r="BYY25" s="666" t="e">
        <f>AE26*X26*X25</f>
        <v>#N/A</v>
      </c>
      <c r="BYZ25" s="666">
        <f>100*X26*X25</f>
        <v>25</v>
      </c>
      <c r="BZA25" s="660"/>
      <c r="BZB25" s="661" t="s">
        <v>67</v>
      </c>
      <c r="BZC25" s="666" t="e">
        <f>AF26*Y26*Y25</f>
        <v>#N/A</v>
      </c>
      <c r="BZD25" s="666">
        <f>100*Y26*Y25</f>
        <v>7.0000000000000009</v>
      </c>
      <c r="BZE25" s="660"/>
      <c r="BZF25" s="661" t="s">
        <v>67</v>
      </c>
      <c r="BZG25" s="666" t="e">
        <f>AG26*Z26*Z25</f>
        <v>#N/A</v>
      </c>
      <c r="BZH25" s="666">
        <f>100*Z26*Z25</f>
        <v>7.0000000000000009</v>
      </c>
      <c r="BZI25" s="660"/>
      <c r="BZJ25" s="661" t="s">
        <v>67</v>
      </c>
      <c r="BZK25" s="666" t="e">
        <f>AH26*AA26*AA25</f>
        <v>#N/A</v>
      </c>
      <c r="BZL25" s="666">
        <f>100*AA26*AA25</f>
        <v>5</v>
      </c>
      <c r="BZM25" s="660"/>
      <c r="BZN25" s="661" t="s">
        <v>67</v>
      </c>
      <c r="BZO25" s="666" t="e">
        <f>AI26*AB26*AB25</f>
        <v>#N/A</v>
      </c>
      <c r="BZP25" s="666">
        <f>100*G26*G25</f>
        <v>20</v>
      </c>
      <c r="BZQ25" s="660"/>
      <c r="BZR25" s="661" t="s">
        <v>67</v>
      </c>
      <c r="BZS25" s="661" t="e">
        <f>AJ26*AC26*AC25</f>
        <v>#N/A</v>
      </c>
      <c r="BZT25" s="661">
        <f>100*AC26*AC25</f>
        <v>25</v>
      </c>
      <c r="BZU25" s="299"/>
      <c r="BZV25" s="661" t="s">
        <v>67</v>
      </c>
      <c r="BZW25" s="661" t="e">
        <f>AK26*AD26*AD25</f>
        <v>#N/A</v>
      </c>
      <c r="BZX25" s="661">
        <f>100*AD26*AD25</f>
        <v>12.5</v>
      </c>
      <c r="BZY25" s="299"/>
      <c r="BZZ25" s="280"/>
      <c r="CAA25" s="281" t="str">
        <f t="shared" ref="CAA25:CAA35" si="8">BZV25</f>
        <v>levensduurverlenging</v>
      </c>
      <c r="CAB25" s="283" t="e">
        <f t="shared" si="7"/>
        <v>#N/A</v>
      </c>
      <c r="CAC25" s="284">
        <f t="shared" si="7"/>
        <v>7.0000000000000009</v>
      </c>
    </row>
    <row r="26" spans="1:47 2022:2057" ht="47.4" customHeight="1" x14ac:dyDescent="0.4">
      <c r="A26" s="12"/>
      <c r="B26" s="16">
        <v>1</v>
      </c>
      <c r="C26" s="16">
        <v>1</v>
      </c>
      <c r="D26" s="16">
        <v>1</v>
      </c>
      <c r="E26" s="16">
        <v>1</v>
      </c>
      <c r="F26" s="16">
        <v>1</v>
      </c>
      <c r="G26" s="16">
        <v>1</v>
      </c>
      <c r="H26" s="16"/>
      <c r="I26" s="16"/>
      <c r="J26" s="16"/>
      <c r="K26" s="452" t="s">
        <v>60</v>
      </c>
      <c r="L26" s="549" t="s">
        <v>68</v>
      </c>
      <c r="M26" s="551" t="str">
        <f>IF(N26="","         klik hier op linkermuisknop + selecteer via het pull down menu het gerealiseerd circulaire doel","")</f>
        <v xml:space="preserve">         klik hier op linkermuisknop + selecteer via het pull down menu het gerealiseerd circulaire doel</v>
      </c>
      <c r="N26" s="210"/>
      <c r="O26" s="20"/>
      <c r="P26" s="20"/>
      <c r="Q26" s="20"/>
      <c r="R26" s="20"/>
      <c r="S26" s="20"/>
      <c r="T26" s="20"/>
      <c r="U26" s="20"/>
      <c r="V26" s="128"/>
      <c r="W26" s="7">
        <f t="shared" si="6"/>
        <v>1</v>
      </c>
      <c r="X26" s="26">
        <f>'info weging'!B11</f>
        <v>1</v>
      </c>
      <c r="Y26" s="26">
        <f>'info weging'!C11</f>
        <v>1</v>
      </c>
      <c r="Z26" s="26">
        <f>'info weging'!D11</f>
        <v>1</v>
      </c>
      <c r="AA26" s="26">
        <f>'info weging'!E11</f>
        <v>1</v>
      </c>
      <c r="AB26" s="26">
        <f>'info weging'!F11</f>
        <v>1</v>
      </c>
      <c r="AC26" s="27">
        <f>'info weging'!G11</f>
        <v>1</v>
      </c>
      <c r="AD26" s="27">
        <f>'info weging'!H11</f>
        <v>1</v>
      </c>
      <c r="AE26" s="96" t="e">
        <f>VLOOKUP(N26,'info weging'!$A$36:$H$163,2,FALSE)</f>
        <v>#N/A</v>
      </c>
      <c r="AF26" s="8" t="e">
        <f>VLOOKUP(N26,'info weging'!$A$36:$H$163,3,FALSE)</f>
        <v>#N/A</v>
      </c>
      <c r="AG26" s="8" t="e">
        <f>VLOOKUP(N26,'info weging'!$A$36:$H$163,4,FALSE)</f>
        <v>#N/A</v>
      </c>
      <c r="AH26" s="8" t="e">
        <f>VLOOKUP(N26,'info weging'!$A$36:$H$163,5,FALSE)</f>
        <v>#N/A</v>
      </c>
      <c r="AI26" s="8" t="e">
        <f>VLOOKUP(N26,'info weging'!$A$36:$H$163,6,FALSE)</f>
        <v>#N/A</v>
      </c>
      <c r="AJ26" s="9" t="e">
        <f>VLOOKUP(N26,'info weging'!$A$36:$H$163,7,FALSE)</f>
        <v>#N/A</v>
      </c>
      <c r="AK26" s="9" t="e">
        <f>VLOOKUP(N26,'info weging'!$A$36:$H$163,8,FALSE)</f>
        <v>#N/A</v>
      </c>
      <c r="AL26" s="260" t="str">
        <f>IF(COUNTA(N26)=1,AE26*$AE$15+AF26*$AF$15+AG26*$AG$15+AH26*$AH$15+AI26*$AI$15+AJ26*$AJ$15+AK26*$AK$15,"----")</f>
        <v>----</v>
      </c>
      <c r="AM26" s="128"/>
      <c r="AN26" s="127">
        <f>'print Basis'!P21</f>
        <v>1</v>
      </c>
      <c r="AO26" s="128"/>
      <c r="AP26" s="622"/>
      <c r="AQ26" s="5"/>
      <c r="AR26" s="778"/>
      <c r="AS26" s="20"/>
      <c r="AT26" s="20"/>
      <c r="AU26" s="20"/>
      <c r="BYT26" s="299"/>
      <c r="BYU26" s="299"/>
      <c r="BYV26" s="665" t="s">
        <v>70</v>
      </c>
      <c r="BYW26" s="661" t="s">
        <v>60</v>
      </c>
      <c r="BYX26" s="661" t="s">
        <v>71</v>
      </c>
      <c r="BYY26" s="666" t="e">
        <f>AE28*X28*X27</f>
        <v>#N/A</v>
      </c>
      <c r="BYZ26" s="666">
        <f>100*X28*X27</f>
        <v>7.8000000000000007</v>
      </c>
      <c r="BZA26" s="660"/>
      <c r="BZB26" s="661" t="s">
        <v>71</v>
      </c>
      <c r="BZC26" s="666" t="e">
        <f>AF28*Y28*Y27</f>
        <v>#N/A</v>
      </c>
      <c r="BZD26" s="666">
        <f>100*Y28*Y27</f>
        <v>2.8000000000000003</v>
      </c>
      <c r="BZE26" s="660"/>
      <c r="BZF26" s="661" t="s">
        <v>71</v>
      </c>
      <c r="BZG26" s="666" t="e">
        <f>AG28*Z28*Z27</f>
        <v>#N/A</v>
      </c>
      <c r="BZH26" s="666">
        <f>100*Z28*Z27</f>
        <v>6</v>
      </c>
      <c r="BZI26" s="660"/>
      <c r="BZJ26" s="661" t="s">
        <v>71</v>
      </c>
      <c r="BZK26" s="666" t="e">
        <f>AH28*AA28*AA27</f>
        <v>#N/A</v>
      </c>
      <c r="BZL26" s="666">
        <f>100*AA28*AA27</f>
        <v>6</v>
      </c>
      <c r="BZM26" s="660"/>
      <c r="BZN26" s="661" t="s">
        <v>71</v>
      </c>
      <c r="BZO26" s="666" t="e">
        <f>AI28*AB28*AB27</f>
        <v>#N/A</v>
      </c>
      <c r="BZP26" s="666">
        <f>100*G28*G27</f>
        <v>4</v>
      </c>
      <c r="BZQ26" s="660"/>
      <c r="BZR26" s="661" t="s">
        <v>71</v>
      </c>
      <c r="BZS26" s="661" t="e">
        <f>AJ28*AC28*AC27</f>
        <v>#N/A</v>
      </c>
      <c r="BZT26" s="661">
        <f>100*AC28*AC27</f>
        <v>4</v>
      </c>
      <c r="BZU26" s="299"/>
      <c r="BZV26" s="661" t="s">
        <v>71</v>
      </c>
      <c r="BZW26" s="661" t="e">
        <f>AK28*AD28*AD27</f>
        <v>#N/A</v>
      </c>
      <c r="BZX26" s="661">
        <f>100*AD28*AD27</f>
        <v>5</v>
      </c>
      <c r="BZY26" s="299"/>
      <c r="BZZ26" s="280"/>
      <c r="CAA26" s="281" t="str">
        <f t="shared" si="8"/>
        <v>hergebruik</v>
      </c>
      <c r="CAB26" s="283" t="e">
        <f t="shared" si="7"/>
        <v>#N/A</v>
      </c>
      <c r="CAC26" s="284">
        <f t="shared" si="7"/>
        <v>2.8000000000000003</v>
      </c>
    </row>
    <row r="27" spans="1:47 2022:2057" ht="21" customHeight="1" x14ac:dyDescent="0.4">
      <c r="A27" s="12"/>
      <c r="B27" s="15">
        <v>0.17</v>
      </c>
      <c r="C27" s="15">
        <v>0.15</v>
      </c>
      <c r="D27" s="15">
        <v>0.15</v>
      </c>
      <c r="E27" s="15">
        <v>0.2</v>
      </c>
      <c r="F27" s="15">
        <v>0.25</v>
      </c>
      <c r="G27" s="15">
        <v>0.2</v>
      </c>
      <c r="H27" s="15"/>
      <c r="I27" s="15"/>
      <c r="J27" s="15"/>
      <c r="K27" s="84">
        <v>3</v>
      </c>
      <c r="L27" s="56" t="s">
        <v>72</v>
      </c>
      <c r="M27" s="57"/>
      <c r="N27" s="239"/>
      <c r="O27" s="20"/>
      <c r="P27" s="20"/>
      <c r="Q27" s="20"/>
      <c r="R27" s="20"/>
      <c r="S27" s="20"/>
      <c r="T27" s="20"/>
      <c r="U27" s="20">
        <v>3</v>
      </c>
      <c r="V27" s="128"/>
      <c r="W27" s="7">
        <f t="shared" si="6"/>
        <v>7.0000000000000007E-2</v>
      </c>
      <c r="X27" s="22">
        <f>'info weging'!B12</f>
        <v>0.13</v>
      </c>
      <c r="Y27" s="22">
        <f>'info weging'!C12</f>
        <v>7.0000000000000007E-2</v>
      </c>
      <c r="Z27" s="22">
        <f>'info weging'!D12</f>
        <v>0.15</v>
      </c>
      <c r="AA27" s="22">
        <f>'info weging'!E12</f>
        <v>0.2</v>
      </c>
      <c r="AB27" s="22">
        <f>'info weging'!F12</f>
        <v>0.25</v>
      </c>
      <c r="AC27" s="23">
        <f>'info weging'!G12</f>
        <v>0.2</v>
      </c>
      <c r="AD27" s="23">
        <f>'info weging'!H12</f>
        <v>0.125</v>
      </c>
      <c r="AE27" s="74"/>
      <c r="AF27" s="72"/>
      <c r="AG27" s="72"/>
      <c r="AH27" s="72"/>
      <c r="AI27" s="72"/>
      <c r="AJ27" s="73"/>
      <c r="AK27" s="73"/>
      <c r="AL27" s="118"/>
      <c r="AM27" s="128"/>
      <c r="AN27" s="201">
        <f>'print Basis'!P22</f>
        <v>7.0000000000000007E-2</v>
      </c>
      <c r="AO27" s="128"/>
      <c r="AP27" s="621" t="e">
        <f>AN27*(AL28*AN28+AL29*AN29+AL30*AN30)</f>
        <v>#VALUE!</v>
      </c>
      <c r="AQ27" s="5"/>
      <c r="AR27" s="779"/>
      <c r="AS27" s="20"/>
      <c r="AT27" s="20"/>
      <c r="AU27" s="20"/>
      <c r="BYT27" s="299"/>
      <c r="BYU27" s="299"/>
      <c r="BYV27" s="665"/>
      <c r="BYW27" s="661" t="s">
        <v>73</v>
      </c>
      <c r="BYX27" s="661" t="s">
        <v>74</v>
      </c>
      <c r="BYY27" s="666" t="e">
        <f>AE29*X29*X27</f>
        <v>#N/A</v>
      </c>
      <c r="BYZ27" s="666">
        <f>100*X29*X27</f>
        <v>1.3</v>
      </c>
      <c r="BZA27" s="660"/>
      <c r="BZB27" s="661" t="s">
        <v>74</v>
      </c>
      <c r="BZC27" s="666" t="e">
        <f>AF29*Y29*Y27</f>
        <v>#N/A</v>
      </c>
      <c r="BZD27" s="666">
        <f>Y29*Y27*100</f>
        <v>2.8000000000000003</v>
      </c>
      <c r="BZE27" s="660"/>
      <c r="BZF27" s="661" t="s">
        <v>74</v>
      </c>
      <c r="BZG27" s="666" t="e">
        <f>AG29*Z29*Z27</f>
        <v>#N/A</v>
      </c>
      <c r="BZH27" s="666">
        <f>Z29*Z27*100</f>
        <v>6</v>
      </c>
      <c r="BZI27" s="660"/>
      <c r="BZJ27" s="661" t="s">
        <v>74</v>
      </c>
      <c r="BZK27" s="666" t="e">
        <f>AH29*AA29*AA27</f>
        <v>#N/A</v>
      </c>
      <c r="BZL27" s="666">
        <f>100*AA29*AA27</f>
        <v>12</v>
      </c>
      <c r="BZM27" s="660"/>
      <c r="BZN27" s="661" t="s">
        <v>74</v>
      </c>
      <c r="BZO27" s="666" t="e">
        <f>AI29*AB29*AB27</f>
        <v>#N/A</v>
      </c>
      <c r="BZP27" s="666">
        <f>G29*G27*100</f>
        <v>13.999999999999998</v>
      </c>
      <c r="BZQ27" s="660"/>
      <c r="BZR27" s="661" t="s">
        <v>74</v>
      </c>
      <c r="BZS27" s="661" t="e">
        <f>AJ29*AC29*AC27</f>
        <v>#N/A</v>
      </c>
      <c r="BZT27" s="661">
        <f>AC29*AC27*100</f>
        <v>13.999999999999998</v>
      </c>
      <c r="BZU27" s="299"/>
      <c r="BZV27" s="661" t="s">
        <v>74</v>
      </c>
      <c r="BZW27" s="661" t="e">
        <f>AK29*AD29*AD27</f>
        <v>#N/A</v>
      </c>
      <c r="BZX27" s="661">
        <f>100*AD29*AD27</f>
        <v>5</v>
      </c>
      <c r="BZY27" s="299"/>
      <c r="BZZ27" s="280"/>
      <c r="CAA27" s="281" t="str">
        <f t="shared" si="8"/>
        <v>materialendatabank</v>
      </c>
      <c r="CAB27" s="283" t="e">
        <f t="shared" si="7"/>
        <v>#N/A</v>
      </c>
      <c r="CAC27" s="284">
        <f t="shared" si="7"/>
        <v>2.8000000000000003</v>
      </c>
    </row>
    <row r="28" spans="1:47 2022:2057" ht="59.4" customHeight="1" x14ac:dyDescent="0.4">
      <c r="A28" s="12"/>
      <c r="B28" s="16">
        <v>0.4</v>
      </c>
      <c r="C28" s="16">
        <v>0.4</v>
      </c>
      <c r="D28" s="16">
        <v>0.4</v>
      </c>
      <c r="E28" s="16">
        <v>0.3</v>
      </c>
      <c r="F28" s="16">
        <v>0.2</v>
      </c>
      <c r="G28" s="16">
        <v>0.2</v>
      </c>
      <c r="H28" s="16"/>
      <c r="I28" s="16"/>
      <c r="J28" s="16"/>
      <c r="K28" s="452" t="s">
        <v>60</v>
      </c>
      <c r="L28" s="549" t="s">
        <v>75</v>
      </c>
      <c r="M28" s="551" t="str">
        <f>IF(N28="","         klik hier op linkermuisknop + selecteer via het pull down menu het gerealiseerd circulaire doel","")</f>
        <v xml:space="preserve">         klik hier op linkermuisknop + selecteer via het pull down menu het gerealiseerd circulaire doel</v>
      </c>
      <c r="N28" s="210"/>
      <c r="O28" s="20"/>
      <c r="P28" s="20"/>
      <c r="Q28" s="20"/>
      <c r="R28" s="20"/>
      <c r="S28" s="20"/>
      <c r="T28" s="20"/>
      <c r="U28" s="20"/>
      <c r="V28" s="128"/>
      <c r="W28" s="7">
        <f t="shared" si="6"/>
        <v>0.4</v>
      </c>
      <c r="X28" s="26">
        <f>'info weging'!B13</f>
        <v>0.6</v>
      </c>
      <c r="Y28" s="26">
        <f>'info weging'!C13</f>
        <v>0.4</v>
      </c>
      <c r="Z28" s="26">
        <f>'info weging'!D13</f>
        <v>0.4</v>
      </c>
      <c r="AA28" s="26">
        <f>'info weging'!E13</f>
        <v>0.3</v>
      </c>
      <c r="AB28" s="26">
        <f>'info weging'!F13</f>
        <v>0.2</v>
      </c>
      <c r="AC28" s="27">
        <f>'info weging'!G13</f>
        <v>0.2</v>
      </c>
      <c r="AD28" s="27">
        <f>'info weging'!H13</f>
        <v>0.4</v>
      </c>
      <c r="AE28" s="92" t="e">
        <f>VLOOKUP(N28,'info weging'!$A$36:$H$163,2,FALSE)</f>
        <v>#N/A</v>
      </c>
      <c r="AF28" s="8" t="e">
        <f>VLOOKUP(N28,'info weging'!$A$36:$H$163,3,FALSE)</f>
        <v>#N/A</v>
      </c>
      <c r="AG28" s="8" t="e">
        <f>VLOOKUP(N28,'info weging'!$A$36:$H$163,4,FALSE)</f>
        <v>#N/A</v>
      </c>
      <c r="AH28" s="8" t="e">
        <f>VLOOKUP(N28,'info weging'!$A$36:$H$163,5,FALSE)</f>
        <v>#N/A</v>
      </c>
      <c r="AI28" s="8" t="e">
        <f>VLOOKUP(N28,'info weging'!$A$36:$H$163,6,FALSE)</f>
        <v>#N/A</v>
      </c>
      <c r="AJ28" s="9" t="e">
        <f>VLOOKUP(N28,'info weging'!$A$36:$H$163,7,FALSE)</f>
        <v>#N/A</v>
      </c>
      <c r="AK28" s="9" t="e">
        <f>VLOOKUP(N28,'info weging'!$A$36:$H$163,8,FALSE)</f>
        <v>#N/A</v>
      </c>
      <c r="AL28" s="260" t="str">
        <f>IF(COUNTA(N28)=1,AE28*$AE$15+AF28*$AF$15+AG28*$AG$15+AH28*$AH$15+AI28*$AI$15+AJ28*$AJ$15+AK28*$AK$15,"----")</f>
        <v>----</v>
      </c>
      <c r="AM28" s="128"/>
      <c r="AN28" s="127">
        <f>'print Basis'!P23</f>
        <v>0.4</v>
      </c>
      <c r="AO28" s="202"/>
      <c r="AP28" s="622"/>
      <c r="AQ28" s="5"/>
      <c r="AR28" s="778"/>
      <c r="AS28" s="20"/>
      <c r="AT28" s="20"/>
      <c r="AU28" s="20"/>
      <c r="BYT28" s="299"/>
      <c r="BYU28" s="299"/>
      <c r="BYV28" s="665"/>
      <c r="BYW28" s="661" t="s">
        <v>77</v>
      </c>
      <c r="BYX28" s="661" t="s">
        <v>78</v>
      </c>
      <c r="BYY28" s="666" t="e">
        <f>AE30*X30*X27</f>
        <v>#N/A</v>
      </c>
      <c r="BYZ28" s="666">
        <f>X30*X27*100</f>
        <v>3.9</v>
      </c>
      <c r="BZA28" s="660"/>
      <c r="BZB28" s="661" t="s">
        <v>78</v>
      </c>
      <c r="BZC28" s="666" t="e">
        <f>AF30*Y30*Y27</f>
        <v>#N/A</v>
      </c>
      <c r="BZD28" s="666">
        <f>100*Y30*Y27</f>
        <v>1.4000000000000001</v>
      </c>
      <c r="BZE28" s="660"/>
      <c r="BZF28" s="661" t="s">
        <v>78</v>
      </c>
      <c r="BZG28" s="666" t="e">
        <f>AG30*Z30*Z27</f>
        <v>#N/A</v>
      </c>
      <c r="BZH28" s="666">
        <f>100*Z30*Z27</f>
        <v>3</v>
      </c>
      <c r="BZI28" s="660"/>
      <c r="BZJ28" s="661" t="s">
        <v>78</v>
      </c>
      <c r="BZK28" s="666" t="e">
        <f>AH30*AA30*AA27</f>
        <v>#N/A</v>
      </c>
      <c r="BZL28" s="666">
        <f>100*AA30*AA27</f>
        <v>2</v>
      </c>
      <c r="BZM28" s="660"/>
      <c r="BZN28" s="661" t="s">
        <v>78</v>
      </c>
      <c r="BZO28" s="666" t="e">
        <f>AI30*AB30*AB27</f>
        <v>#N/A</v>
      </c>
      <c r="BZP28" s="666">
        <f>100*G30*G27</f>
        <v>2</v>
      </c>
      <c r="BZQ28" s="660"/>
      <c r="BZR28" s="661" t="s">
        <v>78</v>
      </c>
      <c r="BZS28" s="661" t="e">
        <f>AJ30*AC30*AC27</f>
        <v>#N/A</v>
      </c>
      <c r="BZT28" s="661">
        <f>100*AC27*AC30</f>
        <v>2</v>
      </c>
      <c r="BZU28" s="299"/>
      <c r="BZV28" s="661" t="s">
        <v>78</v>
      </c>
      <c r="BZW28" s="661" t="e">
        <f>AK30*AD30*AD27</f>
        <v>#N/A</v>
      </c>
      <c r="BZX28" s="661">
        <f>100*AD30*AD27</f>
        <v>2.5</v>
      </c>
      <c r="BZY28" s="299"/>
      <c r="BZZ28" s="280"/>
      <c r="CAA28" s="281" t="str">
        <f t="shared" si="8"/>
        <v>natuurlijk proces</v>
      </c>
      <c r="CAB28" s="283" t="e">
        <f t="shared" si="7"/>
        <v>#N/A</v>
      </c>
      <c r="CAC28" s="284">
        <f t="shared" si="7"/>
        <v>1.4000000000000001</v>
      </c>
    </row>
    <row r="29" spans="1:47 2022:2057" ht="31.2" customHeight="1" x14ac:dyDescent="0.4">
      <c r="A29" s="12"/>
      <c r="B29" s="16">
        <v>0.4</v>
      </c>
      <c r="C29" s="16">
        <v>0.4</v>
      </c>
      <c r="D29" s="16">
        <v>0.4</v>
      </c>
      <c r="E29" s="16">
        <v>0.6</v>
      </c>
      <c r="F29" s="16">
        <v>0.7</v>
      </c>
      <c r="G29" s="16">
        <v>0.7</v>
      </c>
      <c r="H29" s="16"/>
      <c r="I29" s="16"/>
      <c r="J29" s="16"/>
      <c r="K29" s="452" t="s">
        <v>73</v>
      </c>
      <c r="L29" s="549" t="s">
        <v>79</v>
      </c>
      <c r="M29" s="551" t="str">
        <f>IF(N29="","         klik hier op linkermuisknop + selecteer via het pull down menu het gerealiseerd circulaire doel","")</f>
        <v xml:space="preserve">         klik hier op linkermuisknop + selecteer via het pull down menu het gerealiseerd circulaire doel</v>
      </c>
      <c r="N29" s="210"/>
      <c r="O29" s="20"/>
      <c r="P29" s="20"/>
      <c r="Q29" s="20"/>
      <c r="R29" s="20"/>
      <c r="S29" s="20"/>
      <c r="T29" s="20"/>
      <c r="U29" s="20"/>
      <c r="V29" s="128"/>
      <c r="W29" s="7">
        <f t="shared" si="6"/>
        <v>0.4</v>
      </c>
      <c r="X29" s="26">
        <f>'info weging'!B14</f>
        <v>0.1</v>
      </c>
      <c r="Y29" s="26">
        <f>'info weging'!C14</f>
        <v>0.4</v>
      </c>
      <c r="Z29" s="26">
        <f>'info weging'!D14</f>
        <v>0.4</v>
      </c>
      <c r="AA29" s="26">
        <f>'info weging'!E14</f>
        <v>0.6</v>
      </c>
      <c r="AB29" s="26">
        <f>'info weging'!F14</f>
        <v>0.7</v>
      </c>
      <c r="AC29" s="27">
        <f>'info weging'!G14</f>
        <v>0.7</v>
      </c>
      <c r="AD29" s="27">
        <f>'info weging'!H14</f>
        <v>0.4</v>
      </c>
      <c r="AE29" s="92" t="e">
        <f>VLOOKUP(N29,'info weging'!$A$36:$H$163,2,FALSE)</f>
        <v>#N/A</v>
      </c>
      <c r="AF29" s="8" t="e">
        <f>VLOOKUP(N29,'info weging'!$A$36:$H$163,3,FALSE)</f>
        <v>#N/A</v>
      </c>
      <c r="AG29" s="8" t="e">
        <f>VLOOKUP(N29,'info weging'!$A$36:$H$163,4,FALSE)</f>
        <v>#N/A</v>
      </c>
      <c r="AH29" s="8" t="e">
        <f>VLOOKUP(N29,'info weging'!$A$36:$H$163,5,FALSE)</f>
        <v>#N/A</v>
      </c>
      <c r="AI29" s="8" t="e">
        <f>VLOOKUP(N29,'info weging'!$A$36:$H$163,6,FALSE)</f>
        <v>#N/A</v>
      </c>
      <c r="AJ29" s="9" t="e">
        <f>VLOOKUP(N29,'info weging'!$A$36:$H$163,7,FALSE)</f>
        <v>#N/A</v>
      </c>
      <c r="AK29" s="9" t="e">
        <f>VLOOKUP(N29,'info weging'!$A$36:$H$163,8,FALSE)</f>
        <v>#N/A</v>
      </c>
      <c r="AL29" s="260" t="str">
        <f>IF(COUNTA(N29)=1,AE29*$AE$15+AF29*$AF$15+AG29*$AG$15+AH29*$AH$15+AI29*$AI$15+AJ29*$AJ$15+AK29*$AK$15,"----")</f>
        <v>----</v>
      </c>
      <c r="AM29" s="128"/>
      <c r="AN29" s="127">
        <f>'print Basis'!P24</f>
        <v>0.4</v>
      </c>
      <c r="AO29" s="202"/>
      <c r="AP29" s="622"/>
      <c r="AQ29" s="5"/>
      <c r="AR29" s="778"/>
      <c r="AS29" s="20"/>
      <c r="AT29" s="20"/>
      <c r="AU29" s="20"/>
      <c r="BYT29" s="299"/>
      <c r="BYU29" s="299"/>
      <c r="BYV29" s="665" t="s">
        <v>81</v>
      </c>
      <c r="BYW29" s="661" t="s">
        <v>60</v>
      </c>
      <c r="BYX29" s="661" t="s">
        <v>82</v>
      </c>
      <c r="BYY29" s="666" t="e">
        <f>AE32*X32*X31</f>
        <v>#N/A</v>
      </c>
      <c r="BYZ29" s="666">
        <f>100*X32*X31</f>
        <v>4.5</v>
      </c>
      <c r="BZA29" s="660"/>
      <c r="BZB29" s="661" t="s">
        <v>82</v>
      </c>
      <c r="BZC29" s="666" t="e">
        <f>AF32*Y32*Y31</f>
        <v>#N/A</v>
      </c>
      <c r="BZD29" s="666">
        <f>100*Y32*Y31</f>
        <v>6.3000000000000007</v>
      </c>
      <c r="BZE29" s="660"/>
      <c r="BZF29" s="661" t="s">
        <v>82</v>
      </c>
      <c r="BZG29" s="666" t="e">
        <f>AG32*Z32*Z31</f>
        <v>#N/A</v>
      </c>
      <c r="BZH29" s="666">
        <f>100*Z32*Z31</f>
        <v>9</v>
      </c>
      <c r="BZI29" s="660"/>
      <c r="BZJ29" s="661" t="s">
        <v>82</v>
      </c>
      <c r="BZK29" s="666" t="e">
        <f>AH32*AA32*AA31</f>
        <v>#N/A</v>
      </c>
      <c r="BZL29" s="666">
        <f>100*AA32*AA31</f>
        <v>8</v>
      </c>
      <c r="BZM29" s="660"/>
      <c r="BZN29" s="661" t="s">
        <v>82</v>
      </c>
      <c r="BZO29" s="666" t="e">
        <f>AI32*AB32*AB31</f>
        <v>#N/A</v>
      </c>
      <c r="BZP29" s="666">
        <f>100*G32*G31</f>
        <v>7.5</v>
      </c>
      <c r="BZQ29" s="660"/>
      <c r="BZR29" s="661" t="s">
        <v>82</v>
      </c>
      <c r="BZS29" s="661" t="e">
        <f>AJ32*AC32*AC31</f>
        <v>#N/A</v>
      </c>
      <c r="BZT29" s="661">
        <f>100*AC32*AC31</f>
        <v>7.5</v>
      </c>
      <c r="BZU29" s="299"/>
      <c r="BZV29" s="661" t="s">
        <v>82</v>
      </c>
      <c r="BZW29" s="661" t="e">
        <f>AK32*AD32*AD31</f>
        <v>#N/A</v>
      </c>
      <c r="BZX29" s="661">
        <f>100*AD32*AD31</f>
        <v>11.25</v>
      </c>
      <c r="BZY29" s="299"/>
      <c r="BZZ29" s="280"/>
      <c r="CAA29" s="281" t="str">
        <f t="shared" si="8"/>
        <v>herbruikb.na afdank</v>
      </c>
      <c r="CAB29" s="283" t="e">
        <f t="shared" si="7"/>
        <v>#N/A</v>
      </c>
      <c r="CAC29" s="284">
        <f t="shared" si="7"/>
        <v>6.3000000000000007</v>
      </c>
    </row>
    <row r="30" spans="1:47 2022:2057" ht="45.6" customHeight="1" x14ac:dyDescent="0.4">
      <c r="A30" s="12"/>
      <c r="B30" s="16">
        <v>0.2</v>
      </c>
      <c r="C30" s="16">
        <v>0.2</v>
      </c>
      <c r="D30" s="16">
        <v>0.2</v>
      </c>
      <c r="E30" s="16">
        <v>0.1</v>
      </c>
      <c r="F30" s="16">
        <v>0.1</v>
      </c>
      <c r="G30" s="16">
        <v>0.1</v>
      </c>
      <c r="H30" s="16"/>
      <c r="I30" s="16"/>
      <c r="J30" s="16"/>
      <c r="K30" s="452" t="s">
        <v>77</v>
      </c>
      <c r="L30" s="549" t="s">
        <v>83</v>
      </c>
      <c r="M30" s="551" t="str">
        <f>IF(N30="","         klik hier op linkermuisknop + selecteer via het pull down menu het gerealiseerd circulaire doel","")</f>
        <v xml:space="preserve">         klik hier op linkermuisknop + selecteer via het pull down menu het gerealiseerd circulaire doel</v>
      </c>
      <c r="N30" s="210"/>
      <c r="O30" s="20"/>
      <c r="P30" s="20"/>
      <c r="Q30" s="20"/>
      <c r="R30" s="20"/>
      <c r="S30" s="20"/>
      <c r="T30" s="20"/>
      <c r="U30" s="20"/>
      <c r="V30" s="128"/>
      <c r="W30" s="7">
        <f t="shared" si="6"/>
        <v>0.2</v>
      </c>
      <c r="X30" s="26">
        <f>'info weging'!B15</f>
        <v>0.3</v>
      </c>
      <c r="Y30" s="26">
        <f>'info weging'!C15</f>
        <v>0.2</v>
      </c>
      <c r="Z30" s="26">
        <f>'info weging'!D15</f>
        <v>0.2</v>
      </c>
      <c r="AA30" s="26">
        <f>'info weging'!E15</f>
        <v>0.1</v>
      </c>
      <c r="AB30" s="26">
        <f>'info weging'!F15</f>
        <v>0.1</v>
      </c>
      <c r="AC30" s="27">
        <f>'info weging'!G15</f>
        <v>0.1</v>
      </c>
      <c r="AD30" s="27">
        <f>'info weging'!H15</f>
        <v>0.2</v>
      </c>
      <c r="AE30" s="92" t="e">
        <f>VLOOKUP(N30,'info weging'!$A$36:$H$163,2,FALSE)</f>
        <v>#N/A</v>
      </c>
      <c r="AF30" s="8" t="e">
        <f>VLOOKUP(N30,'info weging'!$A$36:$H$163,3,FALSE)</f>
        <v>#N/A</v>
      </c>
      <c r="AG30" s="8" t="e">
        <f>VLOOKUP(N30,'info weging'!$A$36:$H$163,4,FALSE)</f>
        <v>#N/A</v>
      </c>
      <c r="AH30" s="8" t="e">
        <f>VLOOKUP(N30,'info weging'!$A$36:$H$163,5,FALSE)</f>
        <v>#N/A</v>
      </c>
      <c r="AI30" s="8" t="e">
        <f>VLOOKUP(N30,'info weging'!$A$36:$H$163,6,FALSE)</f>
        <v>#N/A</v>
      </c>
      <c r="AJ30" s="9" t="e">
        <f>VLOOKUP(N30,'info weging'!$A$36:$H$163,7,FALSE)</f>
        <v>#N/A</v>
      </c>
      <c r="AK30" s="9" t="e">
        <f>VLOOKUP(N30,'info weging'!$A$36:$H$163,8,FALSE)</f>
        <v>#N/A</v>
      </c>
      <c r="AL30" s="260" t="str">
        <f>IF(COUNTA(N30)=1,AE30*$AE$15+AF30*$AF$15+AG30*$AG$15+AH30*$AH$15+AI30*$AI$15+AJ30*$AJ$15+AK30*$AK$15,"----")</f>
        <v>----</v>
      </c>
      <c r="AM30" s="128"/>
      <c r="AN30" s="127">
        <f>'print Basis'!P25</f>
        <v>0.2</v>
      </c>
      <c r="AO30" s="202"/>
      <c r="AP30" s="622"/>
      <c r="AQ30" s="5"/>
      <c r="AR30" s="778"/>
      <c r="AS30" s="20"/>
      <c r="AT30" s="20"/>
      <c r="AU30" s="20"/>
      <c r="BYT30" s="299"/>
      <c r="BYU30" s="299"/>
      <c r="BYV30" s="661"/>
      <c r="BYW30" s="661" t="s">
        <v>73</v>
      </c>
      <c r="BYX30" s="661" t="s">
        <v>85</v>
      </c>
      <c r="BYY30" s="666" t="e">
        <f>AE33*X33*X31</f>
        <v>#N/A</v>
      </c>
      <c r="BYZ30" s="666">
        <f>100*X33*X31</f>
        <v>0.5</v>
      </c>
      <c r="BZA30" s="660"/>
      <c r="BZB30" s="661" t="s">
        <v>85</v>
      </c>
      <c r="BZC30" s="666" t="e">
        <f>AF33*Y33*Y31</f>
        <v>#N/A</v>
      </c>
      <c r="BZD30" s="666">
        <f>Y33*Y31*100</f>
        <v>0.70000000000000007</v>
      </c>
      <c r="BZE30" s="660"/>
      <c r="BZF30" s="661" t="s">
        <v>85</v>
      </c>
      <c r="BZG30" s="666" t="e">
        <f>AG33*Z33*Z31</f>
        <v>#N/A</v>
      </c>
      <c r="BZH30" s="666">
        <f>Z33*Z31*100</f>
        <v>1.0000000000000002</v>
      </c>
      <c r="BZI30" s="660"/>
      <c r="BZJ30" s="661" t="s">
        <v>85</v>
      </c>
      <c r="BZK30" s="666" t="e">
        <f>AH33*AA33*AA31</f>
        <v>#N/A</v>
      </c>
      <c r="BZL30" s="666">
        <f>100*AA33*AA31</f>
        <v>2</v>
      </c>
      <c r="BZM30" s="660"/>
      <c r="BZN30" s="661" t="s">
        <v>85</v>
      </c>
      <c r="BZO30" s="666" t="e">
        <f>AI33*AB33*AB31</f>
        <v>#N/A</v>
      </c>
      <c r="BZP30" s="666">
        <f>G33*G31*100</f>
        <v>7.5</v>
      </c>
      <c r="BZQ30" s="660"/>
      <c r="BZR30" s="661" t="s">
        <v>85</v>
      </c>
      <c r="BZS30" s="661" t="e">
        <f>AJ33*AC33*AC31</f>
        <v>#N/A</v>
      </c>
      <c r="BZT30" s="661">
        <f>AC33*AC31*100</f>
        <v>7.5</v>
      </c>
      <c r="BZU30" s="299"/>
      <c r="BZV30" s="661" t="s">
        <v>85</v>
      </c>
      <c r="BZW30" s="661" t="e">
        <f>AK33*AD33*AD31</f>
        <v>#N/A</v>
      </c>
      <c r="BZX30" s="661">
        <f>100*AD33*AD31</f>
        <v>1.25</v>
      </c>
      <c r="BZY30" s="299"/>
      <c r="BZZ30" s="280"/>
      <c r="CAA30" s="281" t="str">
        <f t="shared" si="8"/>
        <v>materialenpaspoort</v>
      </c>
      <c r="CAB30" s="283" t="e">
        <f t="shared" si="7"/>
        <v>#N/A</v>
      </c>
      <c r="CAC30" s="284">
        <f t="shared" si="7"/>
        <v>0.70000000000000007</v>
      </c>
    </row>
    <row r="31" spans="1:47 2022:2057" ht="21" customHeight="1" x14ac:dyDescent="0.4">
      <c r="A31" s="12"/>
      <c r="B31" s="15">
        <v>0.05</v>
      </c>
      <c r="C31" s="15">
        <v>0.1</v>
      </c>
      <c r="D31" s="15">
        <v>0.15</v>
      </c>
      <c r="E31" s="15">
        <v>0.1</v>
      </c>
      <c r="F31" s="15">
        <v>0.15</v>
      </c>
      <c r="G31" s="15">
        <v>0.15</v>
      </c>
      <c r="H31" s="15"/>
      <c r="I31" s="15"/>
      <c r="J31" s="15"/>
      <c r="K31" s="85">
        <v>4</v>
      </c>
      <c r="L31" s="44" t="s">
        <v>86</v>
      </c>
      <c r="M31" s="41"/>
      <c r="N31" s="240"/>
      <c r="O31" s="20"/>
      <c r="P31" s="20"/>
      <c r="Q31" s="20"/>
      <c r="R31" s="20"/>
      <c r="S31" s="20"/>
      <c r="T31" s="20"/>
      <c r="U31" s="20">
        <v>4</v>
      </c>
      <c r="V31" s="128"/>
      <c r="W31" s="7">
        <f t="shared" si="6"/>
        <v>7.0000000000000007E-2</v>
      </c>
      <c r="X31" s="22">
        <f>'info weging'!B16</f>
        <v>0.05</v>
      </c>
      <c r="Y31" s="22">
        <f>'info weging'!C16</f>
        <v>7.0000000000000007E-2</v>
      </c>
      <c r="Z31" s="22">
        <f>'info weging'!D16</f>
        <v>0.1</v>
      </c>
      <c r="AA31" s="22">
        <f>'info weging'!E16</f>
        <v>0.1</v>
      </c>
      <c r="AB31" s="22">
        <f>'info weging'!F16</f>
        <v>0.15</v>
      </c>
      <c r="AC31" s="23">
        <f>'info weging'!G16</f>
        <v>0.15</v>
      </c>
      <c r="AD31" s="23">
        <f>'info weging'!H16</f>
        <v>0.125</v>
      </c>
      <c r="AE31" s="75"/>
      <c r="AF31" s="70"/>
      <c r="AG31" s="70"/>
      <c r="AH31" s="70"/>
      <c r="AI31" s="70"/>
      <c r="AJ31" s="71"/>
      <c r="AK31" s="71"/>
      <c r="AL31" s="261"/>
      <c r="AM31" s="128"/>
      <c r="AN31" s="201">
        <f>'print Basis'!P26</f>
        <v>7.0000000000000007E-2</v>
      </c>
      <c r="AO31" s="128"/>
      <c r="AP31" s="621" t="e">
        <f>AN31*(AL32*AN32+AL33*AN33)</f>
        <v>#VALUE!</v>
      </c>
      <c r="AQ31" s="5"/>
      <c r="AR31" s="779"/>
      <c r="AS31" s="20"/>
      <c r="AT31" s="20"/>
      <c r="AU31" s="20"/>
      <c r="BYT31" s="299"/>
      <c r="BYU31" s="299"/>
      <c r="BYV31" s="665" t="s">
        <v>87</v>
      </c>
      <c r="BYW31" s="661" t="s">
        <v>60</v>
      </c>
      <c r="BYX31" s="661" t="s">
        <v>88</v>
      </c>
      <c r="BYY31" s="666" t="e">
        <f>AE35*X35*X34</f>
        <v>#N/A</v>
      </c>
      <c r="BYZ31" s="666">
        <f>100*X35*X34</f>
        <v>15</v>
      </c>
      <c r="BZA31" s="660"/>
      <c r="BZB31" s="661" t="s">
        <v>88</v>
      </c>
      <c r="BZC31" s="666" t="e">
        <f>AF35*Y35*Y34</f>
        <v>#N/A</v>
      </c>
      <c r="BZD31" s="666">
        <f>100*Y35*Y34</f>
        <v>10</v>
      </c>
      <c r="BZE31" s="660"/>
      <c r="BZF31" s="661" t="s">
        <v>88</v>
      </c>
      <c r="BZG31" s="666" t="e">
        <f>AG35*Z35*Z34</f>
        <v>#N/A</v>
      </c>
      <c r="BZH31" s="666">
        <f>100*Z35*Z34</f>
        <v>10</v>
      </c>
      <c r="BZI31" s="660"/>
      <c r="BZJ31" s="661" t="s">
        <v>88</v>
      </c>
      <c r="BZK31" s="666" t="e">
        <f>AH35*AA35*AA34</f>
        <v>#N/A</v>
      </c>
      <c r="BZL31" s="666">
        <f>100*AA35*AA34</f>
        <v>5</v>
      </c>
      <c r="BZM31" s="660"/>
      <c r="BZN31" s="661" t="s">
        <v>88</v>
      </c>
      <c r="BZO31" s="666" t="e">
        <f>AI35*AB35*AB34</f>
        <v>#N/A</v>
      </c>
      <c r="BZP31" s="666">
        <f>100*G35*G34</f>
        <v>5</v>
      </c>
      <c r="BZQ31" s="660"/>
      <c r="BZR31" s="661" t="s">
        <v>88</v>
      </c>
      <c r="BZS31" s="661" t="e">
        <f>AJ35*AC35*AC34</f>
        <v>#N/A</v>
      </c>
      <c r="BZT31" s="661">
        <f>100*AC35*AC34</f>
        <v>5</v>
      </c>
      <c r="BZU31" s="299"/>
      <c r="BZV31" s="661" t="s">
        <v>88</v>
      </c>
      <c r="BZW31" s="661" t="e">
        <f>AK35*AD35*AD34</f>
        <v>#N/A</v>
      </c>
      <c r="BZX31" s="661">
        <f>100*AD35*AD34</f>
        <v>12.5</v>
      </c>
      <c r="BZY31" s="299"/>
      <c r="BZZ31" s="280"/>
      <c r="CAA31" s="281" t="str">
        <f t="shared" si="8"/>
        <v>toekomstgericht</v>
      </c>
      <c r="CAB31" s="283" t="e">
        <f t="shared" si="7"/>
        <v>#N/A</v>
      </c>
      <c r="CAC31" s="284">
        <f t="shared" si="7"/>
        <v>10</v>
      </c>
    </row>
    <row r="32" spans="1:47 2022:2057" ht="51" customHeight="1" x14ac:dyDescent="0.4">
      <c r="A32" s="12"/>
      <c r="B32" s="16">
        <f>1-B33</f>
        <v>0.9</v>
      </c>
      <c r="C32" s="16">
        <f t="shared" ref="C32:G32" si="9">1-C33</f>
        <v>0.9</v>
      </c>
      <c r="D32" s="16">
        <f t="shared" si="9"/>
        <v>0.9</v>
      </c>
      <c r="E32" s="16">
        <v>0.8</v>
      </c>
      <c r="F32" s="16">
        <f t="shared" si="9"/>
        <v>0.5</v>
      </c>
      <c r="G32" s="16">
        <f t="shared" si="9"/>
        <v>0.5</v>
      </c>
      <c r="H32" s="16"/>
      <c r="I32" s="16"/>
      <c r="J32" s="16"/>
      <c r="K32" s="452" t="s">
        <v>60</v>
      </c>
      <c r="L32" s="549" t="s">
        <v>89</v>
      </c>
      <c r="M32" s="551" t="str">
        <f>IF(N32="","         klik hier op linkermuisknop + selecteer via het pull down menu het gerealiseerd circulaire doel","")</f>
        <v xml:space="preserve">         klik hier op linkermuisknop + selecteer via het pull down menu het gerealiseerd circulaire doel</v>
      </c>
      <c r="N32" s="210"/>
      <c r="O32" s="20"/>
      <c r="P32" s="20"/>
      <c r="Q32" s="20"/>
      <c r="R32" s="20"/>
      <c r="S32" s="20"/>
      <c r="T32" s="20"/>
      <c r="U32" s="20"/>
      <c r="V32" s="128"/>
      <c r="W32" s="7">
        <f t="shared" si="6"/>
        <v>0.9</v>
      </c>
      <c r="X32" s="26">
        <f>'info weging'!B17</f>
        <v>0.9</v>
      </c>
      <c r="Y32" s="26">
        <f>'info weging'!C17</f>
        <v>0.9</v>
      </c>
      <c r="Z32" s="26">
        <f>'info weging'!D17</f>
        <v>0.9</v>
      </c>
      <c r="AA32" s="26">
        <f>'info weging'!E17</f>
        <v>0.8</v>
      </c>
      <c r="AB32" s="26">
        <f>'info weging'!F17</f>
        <v>0.5</v>
      </c>
      <c r="AC32" s="27">
        <f>'info weging'!G17</f>
        <v>0.5</v>
      </c>
      <c r="AD32" s="27">
        <f>'info weging'!H17</f>
        <v>0.9</v>
      </c>
      <c r="AE32" s="94" t="e">
        <f>VLOOKUP(N32,'info weging'!$A$36:$H$163,2,FALSE)</f>
        <v>#N/A</v>
      </c>
      <c r="AF32" s="8" t="e">
        <f>VLOOKUP(N32,'info weging'!$A$36:$H$163,3,FALSE)</f>
        <v>#N/A</v>
      </c>
      <c r="AG32" s="8" t="e">
        <f>VLOOKUP(N32,'info weging'!$A$36:$H$163,4,FALSE)</f>
        <v>#N/A</v>
      </c>
      <c r="AH32" s="8" t="e">
        <f>VLOOKUP(N32,'info weging'!$A$36:$H$163,5,FALSE)</f>
        <v>#N/A</v>
      </c>
      <c r="AI32" s="8" t="e">
        <f>VLOOKUP(N32,'info weging'!$A$36:$H$163,6,FALSE)</f>
        <v>#N/A</v>
      </c>
      <c r="AJ32" s="9" t="e">
        <f>VLOOKUP(N32,'info weging'!$A$36:$H$163,7,FALSE)</f>
        <v>#N/A</v>
      </c>
      <c r="AK32" s="9" t="e">
        <f>VLOOKUP(N32,'info weging'!$A$36:$H$163,8,FALSE)</f>
        <v>#N/A</v>
      </c>
      <c r="AL32" s="260" t="str">
        <f>IF(COUNTA(N32)=1,AE32*$AE$15+AF32*$AF$15+AG32*$AG$15+AH32*$AH$15+AI32*$AI$15+AJ32*$AJ$15+AK32*$AK$15,"----")</f>
        <v>----</v>
      </c>
      <c r="AM32" s="128"/>
      <c r="AN32" s="127">
        <f>'print Basis'!P27</f>
        <v>0.9</v>
      </c>
      <c r="AO32" s="128"/>
      <c r="AP32" s="622"/>
      <c r="AQ32" s="5"/>
      <c r="AR32" s="778"/>
      <c r="AS32" s="20"/>
      <c r="AT32" s="20"/>
      <c r="AU32" s="20"/>
      <c r="BYT32" s="299"/>
      <c r="BYU32" s="299"/>
      <c r="BYV32" s="665" t="s">
        <v>91</v>
      </c>
      <c r="BYW32" s="661" t="s">
        <v>60</v>
      </c>
      <c r="BYX32" s="661" t="s">
        <v>35</v>
      </c>
      <c r="BYY32" s="666" t="e">
        <f>AE37*X37*X36</f>
        <v>#N/A</v>
      </c>
      <c r="BYZ32" s="666">
        <f>100*X37*X36</f>
        <v>5</v>
      </c>
      <c r="BZA32" s="660"/>
      <c r="BZB32" s="661" t="s">
        <v>35</v>
      </c>
      <c r="BZC32" s="666" t="e">
        <f>AF37*Y37*Y36</f>
        <v>#N/A</v>
      </c>
      <c r="BZD32" s="666">
        <f>100*Y37*Y36</f>
        <v>7.0000000000000009</v>
      </c>
      <c r="BZE32" s="660"/>
      <c r="BZF32" s="661" t="s">
        <v>35</v>
      </c>
      <c r="BZG32" s="666" t="e">
        <f>AG37*Z37*Z36</f>
        <v>#N/A</v>
      </c>
      <c r="BZH32" s="666">
        <f>100*Z37*Z36</f>
        <v>13</v>
      </c>
      <c r="BZI32" s="660"/>
      <c r="BZJ32" s="661" t="s">
        <v>35</v>
      </c>
      <c r="BZK32" s="666" t="e">
        <f>AH37*AA37*AA36</f>
        <v>#N/A</v>
      </c>
      <c r="BZL32" s="666">
        <f>100*AA37*AA36</f>
        <v>15</v>
      </c>
      <c r="BZM32" s="660"/>
      <c r="BZN32" s="661" t="s">
        <v>35</v>
      </c>
      <c r="BZO32" s="666" t="e">
        <f>AI37*AB37*AB36</f>
        <v>#N/A</v>
      </c>
      <c r="BZP32" s="666">
        <f>100*G37*G36</f>
        <v>20</v>
      </c>
      <c r="BZQ32" s="660"/>
      <c r="BZR32" s="661" t="s">
        <v>35</v>
      </c>
      <c r="BZS32" s="661" t="e">
        <f>AJ37*AC37*AC36</f>
        <v>#N/A</v>
      </c>
      <c r="BZT32" s="661">
        <f>100*AC37*AC36</f>
        <v>20</v>
      </c>
      <c r="BZU32" s="299"/>
      <c r="BZV32" s="661" t="s">
        <v>35</v>
      </c>
      <c r="BZW32" s="661" t="e">
        <f>AK37*AD37*AD36</f>
        <v>#N/A</v>
      </c>
      <c r="BZX32" s="661">
        <f>100*AD37*AD36</f>
        <v>12.5</v>
      </c>
      <c r="BZY32" s="299"/>
      <c r="BZZ32" s="280"/>
      <c r="CAA32" s="281" t="str">
        <f t="shared" si="8"/>
        <v>beheer/onderhoud</v>
      </c>
      <c r="CAB32" s="283" t="e">
        <f t="shared" si="7"/>
        <v>#N/A</v>
      </c>
      <c r="CAC32" s="284">
        <f t="shared" si="7"/>
        <v>7.0000000000000009</v>
      </c>
    </row>
    <row r="33" spans="1:49 2022:2057" ht="40.200000000000003" customHeight="1" x14ac:dyDescent="0.4">
      <c r="A33" s="12"/>
      <c r="B33" s="16">
        <v>0.1</v>
      </c>
      <c r="C33" s="16">
        <v>0.1</v>
      </c>
      <c r="D33" s="16">
        <v>0.1</v>
      </c>
      <c r="E33" s="16">
        <v>0.2</v>
      </c>
      <c r="F33" s="16">
        <v>0.5</v>
      </c>
      <c r="G33" s="16">
        <v>0.5</v>
      </c>
      <c r="H33" s="16"/>
      <c r="I33" s="16"/>
      <c r="J33" s="16"/>
      <c r="K33" s="452" t="s">
        <v>73</v>
      </c>
      <c r="L33" s="549" t="s">
        <v>85</v>
      </c>
      <c r="M33" s="551" t="str">
        <f>IF(N33="","         klik hier op linkermuisknop + selecteer via het pull down menu het gerealiseerd circulaire doel","")</f>
        <v xml:space="preserve">         klik hier op linkermuisknop + selecteer via het pull down menu het gerealiseerd circulaire doel</v>
      </c>
      <c r="N33" s="210"/>
      <c r="O33" s="20"/>
      <c r="P33" s="20"/>
      <c r="Q33" s="20"/>
      <c r="R33" s="20"/>
      <c r="S33" s="20"/>
      <c r="T33" s="20"/>
      <c r="U33" s="20"/>
      <c r="V33" s="128"/>
      <c r="W33" s="7">
        <f t="shared" si="6"/>
        <v>0.1</v>
      </c>
      <c r="X33" s="26">
        <f>'info weging'!B18</f>
        <v>0.1</v>
      </c>
      <c r="Y33" s="26">
        <f>'info weging'!C18</f>
        <v>0.1</v>
      </c>
      <c r="Z33" s="26">
        <f>'info weging'!D18</f>
        <v>0.1</v>
      </c>
      <c r="AA33" s="26">
        <f>'info weging'!E18</f>
        <v>0.2</v>
      </c>
      <c r="AB33" s="26">
        <f>'info weging'!F18</f>
        <v>0.5</v>
      </c>
      <c r="AC33" s="27">
        <f>'info weging'!G18</f>
        <v>0.5</v>
      </c>
      <c r="AD33" s="27">
        <f>'info weging'!H18</f>
        <v>0.1</v>
      </c>
      <c r="AE33" s="94" t="e">
        <f>VLOOKUP(N33,'info weging'!$A$36:$H$163,2,FALSE)</f>
        <v>#N/A</v>
      </c>
      <c r="AF33" s="8" t="e">
        <f>VLOOKUP(N33,'info weging'!$A$36:$H$163,3,FALSE)</f>
        <v>#N/A</v>
      </c>
      <c r="AG33" s="8" t="e">
        <f>VLOOKUP(N33,'info weging'!$A$36:$H$163,4,FALSE)</f>
        <v>#N/A</v>
      </c>
      <c r="AH33" s="8" t="e">
        <f>VLOOKUP(N33,'info weging'!$A$36:$H$163,5,FALSE)</f>
        <v>#N/A</v>
      </c>
      <c r="AI33" s="8" t="e">
        <f>VLOOKUP(N33,'info weging'!$A$36:$H$163,6,FALSE)</f>
        <v>#N/A</v>
      </c>
      <c r="AJ33" s="9" t="e">
        <f>VLOOKUP(N33,'info weging'!$A$36:$H$163,7,FALSE)</f>
        <v>#N/A</v>
      </c>
      <c r="AK33" s="9" t="e">
        <f>VLOOKUP(N33,'info weging'!$A$36:$H$163,8,FALSE)</f>
        <v>#N/A</v>
      </c>
      <c r="AL33" s="260" t="str">
        <f>IF(COUNTA(N33)=1,AE33*$AE$15+AF33*$AF$15+AG33*$AG$15+AH33*$AH$15+AI33*$AI$15+AJ33*$AJ$15+AK33*$AK$15,"----")</f>
        <v>----</v>
      </c>
      <c r="AM33" s="128"/>
      <c r="AN33" s="127">
        <f>'print Basis'!P28</f>
        <v>0.1</v>
      </c>
      <c r="AO33" s="128"/>
      <c r="AP33" s="622"/>
      <c r="AQ33" s="5"/>
      <c r="AR33" s="778"/>
      <c r="AS33" s="20"/>
      <c r="AT33" s="20"/>
      <c r="AU33" s="20"/>
      <c r="AW33" t="s">
        <v>93</v>
      </c>
      <c r="BYT33" s="299"/>
      <c r="BYU33" s="299"/>
      <c r="BYV33" s="665" t="s">
        <v>94</v>
      </c>
      <c r="BYW33" s="661" t="s">
        <v>60</v>
      </c>
      <c r="BYX33" s="661" t="s">
        <v>95</v>
      </c>
      <c r="BYY33" s="666" t="e">
        <f>AE39*X39*X38</f>
        <v>#N/A</v>
      </c>
      <c r="BYZ33" s="666">
        <f>100*X39*X38</f>
        <v>2.5</v>
      </c>
      <c r="BZA33" s="660"/>
      <c r="BZB33" s="661" t="s">
        <v>95</v>
      </c>
      <c r="BZC33" s="666" t="e">
        <f>AF39*Y39*Y38</f>
        <v>#N/A</v>
      </c>
      <c r="BZD33" s="666">
        <f>100*Y39*Y38</f>
        <v>20</v>
      </c>
      <c r="BZE33" s="660"/>
      <c r="BZF33" s="661" t="s">
        <v>95</v>
      </c>
      <c r="BZG33" s="666" t="e">
        <f>AG39*Z39*Z38</f>
        <v>#N/A</v>
      </c>
      <c r="BZH33" s="666">
        <f>100*Z39*Z38</f>
        <v>10</v>
      </c>
      <c r="BZI33" s="660"/>
      <c r="BZJ33" s="661" t="s">
        <v>95</v>
      </c>
      <c r="BZK33" s="666" t="e">
        <f>AH39*AA39*AA38</f>
        <v>#N/A</v>
      </c>
      <c r="BZL33" s="666">
        <f>100*AA39*AA38</f>
        <v>10</v>
      </c>
      <c r="BZM33" s="660"/>
      <c r="BZN33" s="661" t="s">
        <v>95</v>
      </c>
      <c r="BZO33" s="666" t="e">
        <f>AI39*AB39*AB38</f>
        <v>#N/A</v>
      </c>
      <c r="BZP33" s="666">
        <f>100*G39*G38</f>
        <v>7.0000000000000009</v>
      </c>
      <c r="BZQ33" s="660"/>
      <c r="BZR33" s="661" t="s">
        <v>95</v>
      </c>
      <c r="BZS33" s="661" t="e">
        <f>AJ39*AC39*AC38</f>
        <v>#N/A</v>
      </c>
      <c r="BZT33" s="661">
        <f>100*AC39*AC38</f>
        <v>2</v>
      </c>
      <c r="BZU33" s="299"/>
      <c r="BZV33" s="661" t="s">
        <v>95</v>
      </c>
      <c r="BZW33" s="661" t="e">
        <f>AK39*AD39*AD38</f>
        <v>#N/A</v>
      </c>
      <c r="BZX33" s="661">
        <f>100*AD39*AD38</f>
        <v>10</v>
      </c>
      <c r="BZY33" s="299"/>
      <c r="BZZ33" s="280"/>
      <c r="CAA33" s="281" t="str">
        <f t="shared" si="8"/>
        <v>MKIberekening</v>
      </c>
      <c r="CAB33" s="283" t="e">
        <f t="shared" si="7"/>
        <v>#N/A</v>
      </c>
      <c r="CAC33" s="284">
        <f t="shared" si="7"/>
        <v>20</v>
      </c>
    </row>
    <row r="34" spans="1:49 2022:2057" ht="21" customHeight="1" x14ac:dyDescent="0.4">
      <c r="A34" s="12"/>
      <c r="B34" s="15">
        <v>0.15</v>
      </c>
      <c r="C34" s="15">
        <v>0.11</v>
      </c>
      <c r="D34" s="15">
        <v>0.1</v>
      </c>
      <c r="E34" s="15">
        <v>0.11</v>
      </c>
      <c r="F34" s="15">
        <v>0.1</v>
      </c>
      <c r="G34" s="15">
        <v>0.05</v>
      </c>
      <c r="H34" s="15"/>
      <c r="I34" s="15"/>
      <c r="J34" s="15"/>
      <c r="K34" s="99">
        <v>5</v>
      </c>
      <c r="L34" s="100" t="s">
        <v>96</v>
      </c>
      <c r="M34" s="101"/>
      <c r="N34" s="241"/>
      <c r="O34" s="20"/>
      <c r="P34" s="20"/>
      <c r="Q34" s="20"/>
      <c r="R34" s="20"/>
      <c r="S34" s="20"/>
      <c r="T34" s="20"/>
      <c r="U34" s="20">
        <v>5</v>
      </c>
      <c r="V34" s="128"/>
      <c r="W34" s="7">
        <f t="shared" si="6"/>
        <v>0.1</v>
      </c>
      <c r="X34" s="22">
        <f>'info weging'!B19</f>
        <v>0.15</v>
      </c>
      <c r="Y34" s="22">
        <f>'info weging'!C19</f>
        <v>0.1</v>
      </c>
      <c r="Z34" s="22">
        <f>'info weging'!D19</f>
        <v>0.1</v>
      </c>
      <c r="AA34" s="22">
        <f>'info weging'!E19</f>
        <v>0.05</v>
      </c>
      <c r="AB34" s="22">
        <f>'info weging'!F19</f>
        <v>0.05</v>
      </c>
      <c r="AC34" s="23">
        <f>'info weging'!G19</f>
        <v>0.05</v>
      </c>
      <c r="AD34" s="23">
        <f>'info weging'!H19</f>
        <v>0.125</v>
      </c>
      <c r="AE34" s="102"/>
      <c r="AF34" s="68"/>
      <c r="AG34" s="68"/>
      <c r="AH34" s="68"/>
      <c r="AI34" s="68"/>
      <c r="AJ34" s="69"/>
      <c r="AK34" s="69"/>
      <c r="AL34" s="262"/>
      <c r="AM34" s="128"/>
      <c r="AN34" s="201">
        <f>'print Basis'!P29</f>
        <v>0.1</v>
      </c>
      <c r="AO34" s="128"/>
      <c r="AP34" s="621" t="e">
        <f>AN34*(AL35*AN35)</f>
        <v>#VALUE!</v>
      </c>
      <c r="AQ34" s="5"/>
      <c r="AR34" s="779"/>
      <c r="AS34" s="20"/>
      <c r="AT34" s="20"/>
      <c r="AU34" s="20"/>
      <c r="BYT34" s="299"/>
      <c r="BYU34" s="299"/>
      <c r="BYV34" s="661"/>
      <c r="BYW34" s="661" t="s">
        <v>73</v>
      </c>
      <c r="BYX34" s="661" t="s">
        <v>97</v>
      </c>
      <c r="BYY34" s="666" t="e">
        <f>AE40*X40*X38</f>
        <v>#N/A</v>
      </c>
      <c r="BYZ34" s="666">
        <f>100*X40*X38</f>
        <v>2.5</v>
      </c>
      <c r="BZA34" s="660"/>
      <c r="BZB34" s="661" t="s">
        <v>97</v>
      </c>
      <c r="BZC34" s="666" t="e">
        <f>AF40*Y40*Y38</f>
        <v>#N/A</v>
      </c>
      <c r="BZD34" s="666">
        <f>Y40*Y38*100</f>
        <v>4.9999999999999991</v>
      </c>
      <c r="BZE34" s="660"/>
      <c r="BZF34" s="661" t="s">
        <v>97</v>
      </c>
      <c r="BZG34" s="666" t="e">
        <f>AG40*Z40*Z38</f>
        <v>#N/A</v>
      </c>
      <c r="BZH34" s="666">
        <f>Z40*Z38*100</f>
        <v>10</v>
      </c>
      <c r="BZI34" s="660"/>
      <c r="BZJ34" s="661" t="s">
        <v>97</v>
      </c>
      <c r="BZK34" s="666" t="e">
        <f>AH40*AA40*AA38</f>
        <v>#N/A</v>
      </c>
      <c r="BZL34" s="666">
        <f>100*AA40*AA38</f>
        <v>10</v>
      </c>
      <c r="BZM34" s="660"/>
      <c r="BZN34" s="661" t="s">
        <v>97</v>
      </c>
      <c r="BZO34" s="666" t="e">
        <f>AI40*AB40*AB38</f>
        <v>#N/A</v>
      </c>
      <c r="BZP34" s="666">
        <f>G40*G38*100</f>
        <v>7.0000000000000009</v>
      </c>
      <c r="BZQ34" s="660"/>
      <c r="BZR34" s="661" t="s">
        <v>97</v>
      </c>
      <c r="BZS34" s="661" t="e">
        <f>AJ40*AC40*AC38</f>
        <v>#N/A</v>
      </c>
      <c r="BZT34" s="661">
        <f>AC40*AC38*100</f>
        <v>2</v>
      </c>
      <c r="BZU34" s="299"/>
      <c r="BZV34" s="661" t="s">
        <v>97</v>
      </c>
      <c r="BZW34" s="661" t="e">
        <f>AK40*AD40*AD38</f>
        <v>#N/A</v>
      </c>
      <c r="BZX34" s="661">
        <f>100*AD40*AD38</f>
        <v>2.4999999999999996</v>
      </c>
      <c r="BZY34" s="299"/>
      <c r="BZZ34" s="280"/>
      <c r="CAA34" s="281" t="str">
        <f t="shared" si="8"/>
        <v>CIberekening</v>
      </c>
      <c r="CAB34" s="283" t="e">
        <f t="shared" si="7"/>
        <v>#N/A</v>
      </c>
      <c r="CAC34" s="284">
        <f t="shared" si="7"/>
        <v>4.9999999999999991</v>
      </c>
    </row>
    <row r="35" spans="1:49 2022:2057" ht="46.2" customHeight="1" x14ac:dyDescent="0.4">
      <c r="A35" s="12"/>
      <c r="B35" s="16">
        <v>1</v>
      </c>
      <c r="C35" s="16">
        <v>1</v>
      </c>
      <c r="D35" s="16">
        <v>1</v>
      </c>
      <c r="E35" s="16">
        <v>1</v>
      </c>
      <c r="F35" s="16">
        <v>1</v>
      </c>
      <c r="G35" s="16">
        <v>1</v>
      </c>
      <c r="H35" s="16"/>
      <c r="I35" s="16"/>
      <c r="J35" s="16"/>
      <c r="K35" s="452" t="s">
        <v>60</v>
      </c>
      <c r="L35" s="549" t="s">
        <v>98</v>
      </c>
      <c r="M35" s="551" t="str">
        <f>IF(N35="","         klik hier op linkermuisknop + selecteer via het pull down menu het gerealiseerd circulaire doel","")</f>
        <v xml:space="preserve">         klik hier op linkermuisknop + selecteer via het pull down menu het gerealiseerd circulaire doel</v>
      </c>
      <c r="N35" s="210"/>
      <c r="O35" s="20"/>
      <c r="P35" s="20"/>
      <c r="Q35" s="20"/>
      <c r="R35" s="20"/>
      <c r="S35" s="20"/>
      <c r="T35" s="20"/>
      <c r="U35" s="20"/>
      <c r="V35" s="128"/>
      <c r="W35" s="7">
        <f t="shared" si="6"/>
        <v>1</v>
      </c>
      <c r="X35" s="26">
        <f>'info weging'!B20</f>
        <v>1</v>
      </c>
      <c r="Y35" s="26">
        <f>'info weging'!C20</f>
        <v>1</v>
      </c>
      <c r="Z35" s="26">
        <f>'info weging'!D20</f>
        <v>1</v>
      </c>
      <c r="AA35" s="26">
        <f>'info weging'!E20</f>
        <v>1</v>
      </c>
      <c r="AB35" s="26">
        <f>'info weging'!F20</f>
        <v>1</v>
      </c>
      <c r="AC35" s="27">
        <f>'info weging'!G20</f>
        <v>1</v>
      </c>
      <c r="AD35" s="27">
        <f>'info weging'!H20</f>
        <v>1</v>
      </c>
      <c r="AE35" s="93" t="e">
        <f>VLOOKUP(N35,'info weging'!$A$36:$H$163,2,FALSE)</f>
        <v>#N/A</v>
      </c>
      <c r="AF35" s="8" t="e">
        <f>VLOOKUP(N35,'info weging'!$A$36:$H$163,3,FALSE)</f>
        <v>#N/A</v>
      </c>
      <c r="AG35" s="8" t="e">
        <f>VLOOKUP(N35,'info weging'!$A$36:$H$163,4,FALSE)</f>
        <v>#N/A</v>
      </c>
      <c r="AH35" s="8" t="e">
        <f>VLOOKUP(N35,'info weging'!$A$36:$H$163,5,FALSE)</f>
        <v>#N/A</v>
      </c>
      <c r="AI35" s="8" t="e">
        <f>VLOOKUP(N35,'info weging'!$A$36:$H$163,6,FALSE)</f>
        <v>#N/A</v>
      </c>
      <c r="AJ35" s="9" t="e">
        <f>VLOOKUP(N35,'info weging'!$A$36:$H$163,7,FALSE)</f>
        <v>#N/A</v>
      </c>
      <c r="AK35" s="9" t="e">
        <f>VLOOKUP(N35,'info weging'!$A$36:$H$163,8,FALSE)</f>
        <v>#N/A</v>
      </c>
      <c r="AL35" s="260" t="str">
        <f>IF(COUNTA(N35)=1,AE35*$AE$15+AF35*$AF$15+AG35*$AG$15+AH35*$AH$15+AI35*$AI$15+AJ35*$AJ$15+AK35*$AK$15,"----")</f>
        <v>----</v>
      </c>
      <c r="AM35" s="128"/>
      <c r="AN35" s="127">
        <f>'print Basis'!P30</f>
        <v>1</v>
      </c>
      <c r="AO35" s="128"/>
      <c r="AP35" s="622"/>
      <c r="AQ35" s="5"/>
      <c r="AR35" s="778"/>
      <c r="AS35" s="20"/>
      <c r="AT35" s="20"/>
      <c r="AU35" s="20"/>
      <c r="BYT35" s="299"/>
      <c r="BYU35" s="299"/>
      <c r="BYV35" s="665" t="s">
        <v>100</v>
      </c>
      <c r="BYW35" s="661" t="s">
        <v>60</v>
      </c>
      <c r="BYX35" s="661" t="s">
        <v>101</v>
      </c>
      <c r="BYY35" s="666" t="e">
        <f>AE42*X42*X41</f>
        <v>#N/A</v>
      </c>
      <c r="BYZ35" s="666">
        <f>100*X42*X41</f>
        <v>2</v>
      </c>
      <c r="BZA35" s="660"/>
      <c r="BZB35" s="661" t="s">
        <v>101</v>
      </c>
      <c r="BZC35" s="666" t="e">
        <f>AF42*Y42*Y41</f>
        <v>#N/A</v>
      </c>
      <c r="BZD35" s="666">
        <f>100*Y42*Y41</f>
        <v>10</v>
      </c>
      <c r="BZE35" s="660"/>
      <c r="BZF35" s="661" t="s">
        <v>101</v>
      </c>
      <c r="BZG35" s="666" t="e">
        <f>AG42*Z42*Z41</f>
        <v>#N/A</v>
      </c>
      <c r="BZH35" s="666">
        <f>100*Z42*Z41</f>
        <v>10</v>
      </c>
      <c r="BZI35" s="660"/>
      <c r="BZJ35" s="661" t="s">
        <v>101</v>
      </c>
      <c r="BZK35" s="666" t="e">
        <f>AH42*AA42*AA41</f>
        <v>#N/A</v>
      </c>
      <c r="BZL35" s="666">
        <f>100*AA42*AA41</f>
        <v>10</v>
      </c>
      <c r="BZM35" s="660"/>
      <c r="BZN35" s="661" t="s">
        <v>101</v>
      </c>
      <c r="BZO35" s="666" t="e">
        <f>AI42*AB42*AB41</f>
        <v>#N/A</v>
      </c>
      <c r="BZP35" s="666">
        <f>100*G42*G41</f>
        <v>5</v>
      </c>
      <c r="BZQ35" s="660"/>
      <c r="BZR35" s="661" t="s">
        <v>101</v>
      </c>
      <c r="BZS35" s="661" t="e">
        <f>AJ42*AC42*AC41</f>
        <v>#N/A</v>
      </c>
      <c r="BZT35" s="661">
        <f>100*AC42*AC41</f>
        <v>10</v>
      </c>
      <c r="BZU35" s="299"/>
      <c r="BZV35" s="661" t="s">
        <v>101</v>
      </c>
      <c r="BZW35" s="661" t="e">
        <f>AK42*AD42*AD41</f>
        <v>#N/A</v>
      </c>
      <c r="BZX35" s="661">
        <f>100*AD42*AD41</f>
        <v>12.5</v>
      </c>
      <c r="BZY35" s="299"/>
      <c r="BZZ35" s="280"/>
      <c r="CAA35" s="281" t="str">
        <f t="shared" si="8"/>
        <v>CO2berekening</v>
      </c>
      <c r="CAB35" s="283" t="e">
        <f t="shared" si="7"/>
        <v>#N/A</v>
      </c>
      <c r="CAC35" s="284">
        <f t="shared" si="7"/>
        <v>10</v>
      </c>
    </row>
    <row r="36" spans="1:49 2022:2057" ht="21" customHeight="1" x14ac:dyDescent="0.4">
      <c r="A36" s="12"/>
      <c r="B36" s="15">
        <v>0.1</v>
      </c>
      <c r="C36" s="15">
        <v>0.11</v>
      </c>
      <c r="D36" s="15">
        <v>0.1</v>
      </c>
      <c r="E36" s="15">
        <v>0.14000000000000001</v>
      </c>
      <c r="F36" s="15">
        <v>0.15</v>
      </c>
      <c r="G36" s="15">
        <v>0.2</v>
      </c>
      <c r="H36" s="15"/>
      <c r="I36" s="15"/>
      <c r="J36" s="15"/>
      <c r="K36" s="86">
        <v>6</v>
      </c>
      <c r="L36" s="45" t="s">
        <v>102</v>
      </c>
      <c r="M36" s="42"/>
      <c r="N36" s="242"/>
      <c r="O36" s="20"/>
      <c r="P36" s="20"/>
      <c r="Q36" s="20"/>
      <c r="R36" s="20"/>
      <c r="S36" s="20"/>
      <c r="T36" s="20"/>
      <c r="U36" s="20">
        <v>6</v>
      </c>
      <c r="V36" s="128"/>
      <c r="W36" s="7">
        <f t="shared" si="6"/>
        <v>7.0000000000000007E-2</v>
      </c>
      <c r="X36" s="22">
        <f>'info weging'!B21</f>
        <v>0.05</v>
      </c>
      <c r="Y36" s="22">
        <f>'info weging'!C21</f>
        <v>7.0000000000000007E-2</v>
      </c>
      <c r="Z36" s="22">
        <f>'info weging'!D21</f>
        <v>0.13</v>
      </c>
      <c r="AA36" s="22">
        <f>'info weging'!E21</f>
        <v>0.15</v>
      </c>
      <c r="AB36" s="22">
        <f>'info weging'!F21</f>
        <v>0.15</v>
      </c>
      <c r="AC36" s="23">
        <f>'info weging'!G21</f>
        <v>0.2</v>
      </c>
      <c r="AD36" s="23">
        <f>'info weging'!H21</f>
        <v>0.125</v>
      </c>
      <c r="AE36" s="76"/>
      <c r="AF36" s="66"/>
      <c r="AG36" s="66"/>
      <c r="AH36" s="66"/>
      <c r="AI36" s="66"/>
      <c r="AJ36" s="67"/>
      <c r="AK36" s="67"/>
      <c r="AL36" s="263"/>
      <c r="AM36" s="128"/>
      <c r="AN36" s="201">
        <f>'print Basis'!P31</f>
        <v>7.0000000000000007E-2</v>
      </c>
      <c r="AO36" s="128"/>
      <c r="AP36" s="621" t="e">
        <f>AN36*(AL37*AN37)</f>
        <v>#VALUE!</v>
      </c>
      <c r="AQ36" s="5"/>
      <c r="AR36" s="779"/>
      <c r="AS36" s="20"/>
      <c r="AT36" s="20"/>
      <c r="AU36" s="20"/>
      <c r="BYT36" s="299"/>
      <c r="BYU36" s="299"/>
      <c r="BYV36" s="661"/>
      <c r="BYW36" s="661"/>
      <c r="BYX36" s="661" t="s">
        <v>103</v>
      </c>
      <c r="BYY36" s="666" t="e">
        <f>100-BYY37</f>
        <v>#N/A</v>
      </c>
      <c r="BYZ36" s="661">
        <v>0</v>
      </c>
      <c r="BZA36" s="660"/>
      <c r="BZB36" s="661" t="s">
        <v>103</v>
      </c>
      <c r="BZC36" s="666" t="e">
        <f>100-BZC37</f>
        <v>#N/A</v>
      </c>
      <c r="BZD36" s="661">
        <v>0</v>
      </c>
      <c r="BZE36" s="660"/>
      <c r="BZF36" s="661" t="s">
        <v>103</v>
      </c>
      <c r="BZG36" s="666" t="e">
        <f>100-BZG37</f>
        <v>#N/A</v>
      </c>
      <c r="BZH36" s="661">
        <v>0</v>
      </c>
      <c r="BZI36" s="660"/>
      <c r="BZJ36" s="661" t="s">
        <v>103</v>
      </c>
      <c r="BZK36" s="666" t="e">
        <f>100-BZK37</f>
        <v>#N/A</v>
      </c>
      <c r="BZL36" s="661">
        <v>0</v>
      </c>
      <c r="BZM36" s="660"/>
      <c r="BZN36" s="661" t="s">
        <v>103</v>
      </c>
      <c r="BZO36" s="666" t="e">
        <f>100-BZO37</f>
        <v>#N/A</v>
      </c>
      <c r="BZP36" s="661">
        <v>0</v>
      </c>
      <c r="BZQ36" s="660"/>
      <c r="BZR36" s="661" t="s">
        <v>103</v>
      </c>
      <c r="BZS36" s="666" t="e">
        <f>100-BZS37</f>
        <v>#N/A</v>
      </c>
      <c r="BZT36" s="661">
        <v>0</v>
      </c>
      <c r="BZU36" s="299"/>
      <c r="BZV36" s="661" t="s">
        <v>103</v>
      </c>
      <c r="BZW36" s="666" t="e">
        <f>100-BZW37</f>
        <v>#N/A</v>
      </c>
      <c r="BZX36" s="661">
        <v>0</v>
      </c>
      <c r="BZY36" s="299"/>
      <c r="BZZ36" s="280"/>
      <c r="CAA36" t="s">
        <v>321</v>
      </c>
      <c r="CAB36" s="725">
        <f>AP44</f>
        <v>0</v>
      </c>
    </row>
    <row r="37" spans="1:49 2022:2057" ht="40.200000000000003" customHeight="1" x14ac:dyDescent="0.4">
      <c r="A37" s="12"/>
      <c r="B37" s="16">
        <v>1</v>
      </c>
      <c r="C37" s="16">
        <v>1</v>
      </c>
      <c r="D37" s="16">
        <v>1</v>
      </c>
      <c r="E37" s="16">
        <v>1</v>
      </c>
      <c r="F37" s="16">
        <v>1</v>
      </c>
      <c r="G37" s="16">
        <v>1</v>
      </c>
      <c r="H37" s="16"/>
      <c r="I37" s="16"/>
      <c r="J37" s="16"/>
      <c r="K37" s="452" t="s">
        <v>60</v>
      </c>
      <c r="L37" s="549" t="s">
        <v>104</v>
      </c>
      <c r="M37" s="551" t="str">
        <f>IF(N37="","         klik hier op linkermuisknop + selecteer via het pull down menu het gerealiseerd circulaire doel","")</f>
        <v xml:space="preserve">         klik hier op linkermuisknop + selecteer via het pull down menu het gerealiseerd circulaire doel</v>
      </c>
      <c r="N37" s="210"/>
      <c r="O37" s="20"/>
      <c r="P37" s="20"/>
      <c r="Q37" s="20"/>
      <c r="R37" s="20"/>
      <c r="S37" s="20"/>
      <c r="T37" s="20"/>
      <c r="U37" s="20"/>
      <c r="V37" s="128"/>
      <c r="W37" s="7">
        <f t="shared" si="6"/>
        <v>1</v>
      </c>
      <c r="X37" s="26">
        <f>'info weging'!B22</f>
        <v>1</v>
      </c>
      <c r="Y37" s="26">
        <f>'info weging'!C22</f>
        <v>1</v>
      </c>
      <c r="Z37" s="26">
        <f>'info weging'!D22</f>
        <v>1</v>
      </c>
      <c r="AA37" s="26">
        <f>'info weging'!E22</f>
        <v>1</v>
      </c>
      <c r="AB37" s="26">
        <f>'info weging'!F22</f>
        <v>1</v>
      </c>
      <c r="AC37" s="27">
        <f>'info weging'!G22</f>
        <v>1</v>
      </c>
      <c r="AD37" s="27">
        <f>'info weging'!H22</f>
        <v>1</v>
      </c>
      <c r="AE37" s="98" t="e">
        <f>VLOOKUP(N37,'info weging'!$A$36:$H$163,2,FALSE)</f>
        <v>#N/A</v>
      </c>
      <c r="AF37" s="8" t="e">
        <f>VLOOKUP(N37,'info weging'!$A$36:$H$163,3,FALSE)</f>
        <v>#N/A</v>
      </c>
      <c r="AG37" s="8" t="e">
        <f>VLOOKUP(N37,'info weging'!$A$36:$H$163,4,FALSE)</f>
        <v>#N/A</v>
      </c>
      <c r="AH37" s="8" t="e">
        <f>VLOOKUP(N37,'info weging'!$A$36:$H$163,5,FALSE)</f>
        <v>#N/A</v>
      </c>
      <c r="AI37" s="8" t="e">
        <f>VLOOKUP(N37,'info weging'!$A$36:$H$163,6,FALSE)</f>
        <v>#N/A</v>
      </c>
      <c r="AJ37" s="9" t="e">
        <f>VLOOKUP(N37,'info weging'!$A$36:$H$163,7,FALSE)</f>
        <v>#N/A</v>
      </c>
      <c r="AK37" s="9" t="e">
        <f>VLOOKUP(N37,'info weging'!$A$36:$H$163,8,FALSE)</f>
        <v>#N/A</v>
      </c>
      <c r="AL37" s="260" t="str">
        <f>IF(COUNTA(N37)=1,AE37*$AE$15+AF37*$AF$15+AG37*$AG$15+AH37*$AH$15+AI37*$AI$15+AJ37*$AJ$15+AK37*$AK$15,"----")</f>
        <v>----</v>
      </c>
      <c r="AM37" s="128"/>
      <c r="AN37" s="127">
        <f>'print Basis'!P32</f>
        <v>1</v>
      </c>
      <c r="AO37" s="128"/>
      <c r="AP37" s="622"/>
      <c r="AQ37" s="5"/>
      <c r="AR37" s="778"/>
      <c r="AS37" s="20"/>
      <c r="AT37" s="20"/>
      <c r="AU37" s="20"/>
      <c r="BYT37" s="299"/>
      <c r="BYU37" s="299"/>
      <c r="BYV37" s="661"/>
      <c r="BYW37" s="661"/>
      <c r="BYX37" s="661" t="s">
        <v>106</v>
      </c>
      <c r="BYY37" s="666" t="e">
        <f>SUM(BYY24:BYY35)</f>
        <v>#N/A</v>
      </c>
      <c r="BYZ37" s="666">
        <f>SUM(BYZ24:BYZ36)</f>
        <v>100</v>
      </c>
      <c r="BZA37" s="660"/>
      <c r="BZB37" s="660" t="s">
        <v>106</v>
      </c>
      <c r="BZC37" s="666" t="e">
        <f>SUM(BZC24:BZC35)</f>
        <v>#N/A</v>
      </c>
      <c r="BZD37" s="666">
        <f>SUM(BZD24:BZD36)</f>
        <v>100</v>
      </c>
      <c r="BZE37" s="660"/>
      <c r="BZF37" s="660" t="s">
        <v>106</v>
      </c>
      <c r="BZG37" s="666" t="e">
        <f>SUM(BZG24:BZG35)</f>
        <v>#N/A</v>
      </c>
      <c r="BZH37" s="666">
        <f>SUM(BZH24:BZH36)</f>
        <v>100</v>
      </c>
      <c r="BZI37" s="660"/>
      <c r="BZJ37" s="660" t="s">
        <v>106</v>
      </c>
      <c r="BZK37" s="666" t="e">
        <f>SUM(BZK24:BZK35)</f>
        <v>#N/A</v>
      </c>
      <c r="BZL37" s="666">
        <f>SUM(BZL24:BZL36)</f>
        <v>100</v>
      </c>
      <c r="BZM37" s="660"/>
      <c r="BZN37" s="660" t="s">
        <v>106</v>
      </c>
      <c r="BZO37" s="666" t="e">
        <f>SUM(BZO24:BZO35)</f>
        <v>#N/A</v>
      </c>
      <c r="BZP37" s="666" t="e">
        <f>SUM(#REF!)</f>
        <v>#REF!</v>
      </c>
      <c r="BZQ37" s="660"/>
      <c r="BZR37" s="660" t="s">
        <v>106</v>
      </c>
      <c r="BZS37" s="666" t="e">
        <f>SUM(BZS24:BZS35)</f>
        <v>#N/A</v>
      </c>
      <c r="BZT37" s="666">
        <f>SUM(BZT24:BZT36)</f>
        <v>100</v>
      </c>
      <c r="BZU37" s="299"/>
      <c r="BZV37" s="660" t="s">
        <v>106</v>
      </c>
      <c r="BZW37" s="666" t="e">
        <f>SUM(BZW24:BZW35)</f>
        <v>#N/A</v>
      </c>
      <c r="BZX37" s="666">
        <f>SUM(BZX24:BZX36)</f>
        <v>100</v>
      </c>
      <c r="BZY37" s="299"/>
      <c r="BZZ37" s="280"/>
      <c r="CAA37" s="281" t="str">
        <f>BZV36</f>
        <v>rest</v>
      </c>
      <c r="CAB37" s="283" t="e">
        <f>BYY36*$BYY$15+BZC36*$BZC$15+BZG36*$BZG$15+BZK36*$BZK$15+BZO36*$BZO$15+BZS36*$BZS$15+BZW36*$BZW$15-CAB36</f>
        <v>#N/A</v>
      </c>
      <c r="CAC37" s="284">
        <f>BYZ36*$BYY$15+BZD36*$BZC$15+BZH36*$BZG$15+BZL36*$BZK$15+BZP36*$BZO$15+BZT36*$BZS$15+BZX36*$BZW$15</f>
        <v>0</v>
      </c>
    </row>
    <row r="38" spans="1:49 2022:2057" ht="21" customHeight="1" x14ac:dyDescent="0.4">
      <c r="A38" s="12"/>
      <c r="B38" s="15">
        <v>0.15</v>
      </c>
      <c r="C38" s="15">
        <v>0.18</v>
      </c>
      <c r="D38" s="15">
        <v>0.15</v>
      </c>
      <c r="E38" s="15">
        <v>0.13</v>
      </c>
      <c r="F38" s="15">
        <v>0.125</v>
      </c>
      <c r="G38" s="15">
        <v>0.14000000000000001</v>
      </c>
      <c r="H38" s="15"/>
      <c r="I38" s="15"/>
      <c r="J38" s="15"/>
      <c r="K38" s="87">
        <v>7</v>
      </c>
      <c r="L38" s="51" t="s">
        <v>354</v>
      </c>
      <c r="M38" s="52"/>
      <c r="N38" s="243"/>
      <c r="O38" s="20"/>
      <c r="P38" s="20"/>
      <c r="Q38" s="20"/>
      <c r="R38" s="20"/>
      <c r="S38" s="20"/>
      <c r="T38" s="20"/>
      <c r="U38" s="20">
        <v>7</v>
      </c>
      <c r="V38" s="128"/>
      <c r="W38" s="7">
        <f t="shared" si="6"/>
        <v>0.25</v>
      </c>
      <c r="X38" s="22">
        <f>'info weging'!B23</f>
        <v>0.05</v>
      </c>
      <c r="Y38" s="22">
        <f>'info weging'!C23</f>
        <v>0.25</v>
      </c>
      <c r="Z38" s="22">
        <f>'info weging'!D23</f>
        <v>0.2</v>
      </c>
      <c r="AA38" s="22">
        <f>'info weging'!E23</f>
        <v>0.2</v>
      </c>
      <c r="AB38" s="22">
        <f>'info weging'!F23</f>
        <v>0.2</v>
      </c>
      <c r="AC38" s="23">
        <f>'info weging'!G23</f>
        <v>0.04</v>
      </c>
      <c r="AD38" s="23">
        <f>'info weging'!H23</f>
        <v>0.125</v>
      </c>
      <c r="AE38" s="77"/>
      <c r="AF38" s="62"/>
      <c r="AG38" s="62"/>
      <c r="AH38" s="62"/>
      <c r="AI38" s="62"/>
      <c r="AJ38" s="63"/>
      <c r="AK38" s="63"/>
      <c r="AL38" s="264"/>
      <c r="AM38" s="128"/>
      <c r="AN38" s="201">
        <f>'print Basis'!P33</f>
        <v>0.25</v>
      </c>
      <c r="AO38" s="128"/>
      <c r="AP38" s="621" t="e">
        <f>AN38*(AL39*AN39+AL40*AN40)</f>
        <v>#VALUE!</v>
      </c>
      <c r="AQ38" s="5"/>
      <c r="AR38" s="779"/>
      <c r="AS38" s="20"/>
      <c r="AT38" s="20"/>
      <c r="AU38" s="20"/>
      <c r="BYT38" s="299"/>
      <c r="BYU38" s="299"/>
      <c r="BYV38" s="299"/>
      <c r="BYW38" s="299"/>
      <c r="BYX38" s="299"/>
      <c r="BYY38" s="662"/>
      <c r="BYZ38" s="662"/>
      <c r="BZA38" s="663"/>
      <c r="BZB38" s="663"/>
      <c r="BZC38" s="662"/>
      <c r="BZD38" s="662"/>
      <c r="BZE38" s="663"/>
      <c r="BZF38" s="662"/>
      <c r="BZG38" s="662"/>
      <c r="BZH38" s="662"/>
      <c r="BZI38" s="663"/>
      <c r="BZJ38" s="662"/>
      <c r="BZK38" s="662"/>
      <c r="BZL38" s="662"/>
      <c r="BZM38" s="663"/>
      <c r="BZN38" s="662"/>
      <c r="BZO38" s="662"/>
      <c r="BZP38" s="662"/>
      <c r="BZQ38" s="663"/>
      <c r="BZR38" s="299"/>
      <c r="BZS38" s="299"/>
      <c r="BZT38" s="299"/>
      <c r="BZU38" s="299"/>
      <c r="BZV38" s="299"/>
      <c r="BZW38" s="299"/>
      <c r="BZX38" s="299"/>
      <c r="BZY38" s="299"/>
      <c r="BZZ38" s="280"/>
      <c r="CAA38" s="281" t="str">
        <f>BZV37</f>
        <v>totaal</v>
      </c>
      <c r="CAB38" s="283" t="e">
        <f>BYY37*$BYY$15+BZC37*$BZC$15+BZG37*$BZG$15+BZK37*$BZK$15+BZO37*$BZO$15+BZS37*$BZS$15+BZW37*$BZW$15+CAB36</f>
        <v>#N/A</v>
      </c>
      <c r="CAC38" s="284" t="e">
        <f>BYZ37*$BYY$15+BZD37*$BZC$15+BZH37*$BZG$15+BZL37*$BZK$15+BZP37*$BZO$15+BZT37*$BZS$15+BZX37*$BZW$15</f>
        <v>#REF!</v>
      </c>
    </row>
    <row r="39" spans="1:49 2022:2057" ht="40.200000000000003" customHeight="1" x14ac:dyDescent="0.4">
      <c r="A39" s="12"/>
      <c r="B39" s="16">
        <v>0.5</v>
      </c>
      <c r="C39" s="16">
        <v>0.5</v>
      </c>
      <c r="D39" s="16">
        <v>0.5</v>
      </c>
      <c r="E39" s="16">
        <v>0.5</v>
      </c>
      <c r="F39" s="16">
        <v>0.5</v>
      </c>
      <c r="G39" s="16">
        <v>0.5</v>
      </c>
      <c r="H39" s="16"/>
      <c r="I39" s="16"/>
      <c r="J39" s="237" t="e">
        <f>BZJ53</f>
        <v>#N/A</v>
      </c>
      <c r="K39" s="452" t="s">
        <v>60</v>
      </c>
      <c r="L39" s="549" t="s">
        <v>108</v>
      </c>
      <c r="M39" s="551" t="str">
        <f>IF(N39="","         klik hier op linkermuisknop + selecteer via het pull down menu het gerealiseerd circulaire doel","")</f>
        <v xml:space="preserve">         klik hier op linkermuisknop + selecteer via het pull down menu het gerealiseerd circulaire doel</v>
      </c>
      <c r="N39" s="210"/>
      <c r="O39" s="20"/>
      <c r="P39" s="20"/>
      <c r="Q39" s="20"/>
      <c r="R39" s="20"/>
      <c r="S39" s="20"/>
      <c r="T39" s="20"/>
      <c r="U39" s="20"/>
      <c r="V39" s="128"/>
      <c r="W39" s="7">
        <f t="shared" si="6"/>
        <v>0.8</v>
      </c>
      <c r="X39" s="26">
        <f>'info weging'!B24</f>
        <v>0.5</v>
      </c>
      <c r="Y39" s="26">
        <f>'info weging'!C24</f>
        <v>0.8</v>
      </c>
      <c r="Z39" s="26">
        <f>'info weging'!D24</f>
        <v>0.5</v>
      </c>
      <c r="AA39" s="26">
        <f>'info weging'!E24</f>
        <v>0.5</v>
      </c>
      <c r="AB39" s="26">
        <f>'info weging'!F24</f>
        <v>0.5</v>
      </c>
      <c r="AC39" s="27">
        <f>'info weging'!G24</f>
        <v>0.5</v>
      </c>
      <c r="AD39" s="27">
        <f>'info weging'!H24</f>
        <v>0.8</v>
      </c>
      <c r="AE39" s="106" t="e">
        <f>VLOOKUP(N39,'info weging'!$A$36:$H$163,2,FALSE)</f>
        <v>#N/A</v>
      </c>
      <c r="AF39" s="8" t="e">
        <f>VLOOKUP(N39,'info weging'!$A$36:$H$163,3,FALSE)</f>
        <v>#N/A</v>
      </c>
      <c r="AG39" s="8" t="e">
        <f>VLOOKUP(N39,'info weging'!$A$36:$H$163,4,FALSE)</f>
        <v>#N/A</v>
      </c>
      <c r="AH39" s="8" t="e">
        <f>VLOOKUP(N39,'info weging'!$A$36:$H$163,5,FALSE)</f>
        <v>#N/A</v>
      </c>
      <c r="AI39" s="8" t="e">
        <f>VLOOKUP(N39,'info weging'!$A$36:$H$163,6,FALSE)</f>
        <v>#N/A</v>
      </c>
      <c r="AJ39" s="9" t="e">
        <f>VLOOKUP(N39,'info weging'!$A$36:$H$163,7,FALSE)</f>
        <v>#N/A</v>
      </c>
      <c r="AK39" s="9" t="e">
        <f>VLOOKUP(N39,'info weging'!$A$36:$H$163,8,FALSE)</f>
        <v>#N/A</v>
      </c>
      <c r="AL39" s="260" t="str">
        <f>IF(COUNTA(N39)=1,AE39*$AE$15+AF39*$AF$15+AG39*$AG$15+AH39*$AH$15+AI39*$AI$15+AJ39*$AJ$15+AK39*$AK$15,"----")</f>
        <v>----</v>
      </c>
      <c r="AM39" s="128"/>
      <c r="AN39" s="127">
        <f>'print Basis'!P34</f>
        <v>0.8</v>
      </c>
      <c r="AO39" s="128"/>
      <c r="AP39" s="622"/>
      <c r="AQ39" s="5"/>
      <c r="AR39" s="778" t="s">
        <v>93</v>
      </c>
      <c r="AS39" s="20"/>
      <c r="AT39" s="20"/>
      <c r="AU39" s="20"/>
      <c r="BYT39" s="299"/>
      <c r="BYU39" s="299"/>
      <c r="BYV39" s="299"/>
      <c r="BYW39" s="299"/>
      <c r="BYX39" s="299"/>
      <c r="BYY39" s="299"/>
      <c r="BYZ39" s="299"/>
      <c r="BZA39" s="299"/>
      <c r="BZB39" s="299"/>
      <c r="BZC39" s="299"/>
      <c r="BZD39" s="299"/>
      <c r="BZE39" s="299"/>
      <c r="BZF39" s="299"/>
      <c r="BZG39" s="299"/>
      <c r="BZH39" s="299"/>
      <c r="BZI39" s="299"/>
      <c r="BZJ39" s="299"/>
      <c r="BZK39" s="299"/>
      <c r="BZL39" s="299"/>
      <c r="BZM39" s="299"/>
      <c r="BZN39" s="299"/>
      <c r="BZO39" s="299"/>
      <c r="BZP39" s="299"/>
      <c r="BZQ39" s="299"/>
      <c r="BZR39" s="299"/>
      <c r="BZS39" s="299"/>
      <c r="BZT39" s="299"/>
      <c r="BZU39" s="299"/>
      <c r="BZV39" s="299"/>
      <c r="BZW39" s="299"/>
      <c r="BZX39" s="299"/>
      <c r="BZY39" s="299"/>
      <c r="BZZ39" s="280"/>
      <c r="CAA39" s="281"/>
      <c r="CAB39" s="281"/>
      <c r="CAC39" s="282"/>
    </row>
    <row r="40" spans="1:49 2022:2057" ht="40.200000000000003" customHeight="1" x14ac:dyDescent="0.4">
      <c r="A40" s="12"/>
      <c r="B40" s="16">
        <f>1-B39</f>
        <v>0.5</v>
      </c>
      <c r="C40" s="16">
        <f t="shared" ref="C40:G40" si="10">1-C39</f>
        <v>0.5</v>
      </c>
      <c r="D40" s="16">
        <f t="shared" si="10"/>
        <v>0.5</v>
      </c>
      <c r="E40" s="16">
        <f t="shared" si="10"/>
        <v>0.5</v>
      </c>
      <c r="F40" s="16">
        <f t="shared" si="10"/>
        <v>0.5</v>
      </c>
      <c r="G40" s="16">
        <f t="shared" si="10"/>
        <v>0.5</v>
      </c>
      <c r="H40" s="16"/>
      <c r="I40" s="16"/>
      <c r="J40" s="16"/>
      <c r="K40" s="452" t="s">
        <v>73</v>
      </c>
      <c r="L40" s="549" t="s">
        <v>110</v>
      </c>
      <c r="M40" s="551" t="str">
        <f>IF(N40="","         klik hier op linkermuisknop + selecteer via het pull down menu het gerealiseerd circulaire doel","")</f>
        <v xml:space="preserve">         klik hier op linkermuisknop + selecteer via het pull down menu het gerealiseerd circulaire doel</v>
      </c>
      <c r="N40" s="210"/>
      <c r="O40" s="20"/>
      <c r="P40" s="20"/>
      <c r="Q40" s="20"/>
      <c r="R40" s="20"/>
      <c r="S40" s="20"/>
      <c r="T40" s="20"/>
      <c r="U40" s="20"/>
      <c r="V40" s="128"/>
      <c r="W40" s="7">
        <f t="shared" si="6"/>
        <v>0.19999999999999996</v>
      </c>
      <c r="X40" s="26">
        <f>'info weging'!B25</f>
        <v>0.5</v>
      </c>
      <c r="Y40" s="26">
        <f>'info weging'!C25</f>
        <v>0.19999999999999996</v>
      </c>
      <c r="Z40" s="26">
        <f>'info weging'!D25</f>
        <v>0.5</v>
      </c>
      <c r="AA40" s="26">
        <f>'info weging'!E25</f>
        <v>0.5</v>
      </c>
      <c r="AB40" s="26">
        <f>'info weging'!F25</f>
        <v>0.5</v>
      </c>
      <c r="AC40" s="27">
        <f>'info weging'!G25</f>
        <v>0.5</v>
      </c>
      <c r="AD40" s="27">
        <f>'info weging'!H25</f>
        <v>0.19999999999999996</v>
      </c>
      <c r="AE40" s="106" t="e">
        <f>VLOOKUP(N40,'info weging'!$A$36:$H$163,2,FALSE)</f>
        <v>#N/A</v>
      </c>
      <c r="AF40" s="8" t="e">
        <f>VLOOKUP(N40,'info weging'!$A$36:$H$163,3,FALSE)</f>
        <v>#N/A</v>
      </c>
      <c r="AG40" s="8" t="e">
        <f>VLOOKUP(N40,'info weging'!$A$36:$H$163,4,FALSE)</f>
        <v>#N/A</v>
      </c>
      <c r="AH40" s="8" t="e">
        <f>VLOOKUP(N40,'info weging'!$A$36:$H$163,5,FALSE)</f>
        <v>#N/A</v>
      </c>
      <c r="AI40" s="8" t="e">
        <f>VLOOKUP(N40,'info weging'!$A$36:$H$163,6,FALSE)</f>
        <v>#N/A</v>
      </c>
      <c r="AJ40" s="9" t="e">
        <f>VLOOKUP(N40,'info weging'!$A$36:$H$163,7,FALSE)</f>
        <v>#N/A</v>
      </c>
      <c r="AK40" s="9" t="e">
        <f>VLOOKUP(N40,'info weging'!$A$36:$H$163,8,FALSE)</f>
        <v>#N/A</v>
      </c>
      <c r="AL40" s="260" t="str">
        <f>IF(COUNTA(N40)=1,AE40*$AE$15+AF40*$AF$15+AG40*$AG$15+AH40*$AH$15+AI40*$AI$15+AJ40*$AJ$15+AK40*$AK$15,"----")</f>
        <v>----</v>
      </c>
      <c r="AM40" s="128"/>
      <c r="AN40" s="127">
        <f>'print Basis'!P35</f>
        <v>0.19999999999999996</v>
      </c>
      <c r="AO40" s="128"/>
      <c r="AP40" s="622"/>
      <c r="AQ40" s="5"/>
      <c r="AR40" s="778"/>
      <c r="AS40" s="20"/>
      <c r="AT40" s="20"/>
      <c r="AU40" s="20"/>
      <c r="BYT40" s="299"/>
      <c r="BYU40" s="299"/>
      <c r="BYV40" s="299"/>
      <c r="BYW40" s="299"/>
      <c r="BYX40" s="299"/>
      <c r="BYY40" s="299"/>
      <c r="BYZ40" s="299"/>
      <c r="BZA40" s="299"/>
      <c r="BZB40" s="299"/>
      <c r="BZC40" s="299"/>
      <c r="BZD40" s="299"/>
      <c r="BZE40" s="299"/>
      <c r="BZF40" s="299"/>
      <c r="BZG40" s="299"/>
      <c r="BZH40" s="299"/>
      <c r="BZI40" s="299"/>
      <c r="BZJ40" s="299"/>
      <c r="BZK40" s="299"/>
      <c r="BZL40" s="299"/>
      <c r="BZM40" s="299"/>
      <c r="BZN40" s="299"/>
      <c r="BZO40" s="299"/>
      <c r="BZP40" s="299"/>
      <c r="BZQ40" s="299"/>
      <c r="BZR40" s="299"/>
      <c r="BZS40" s="299"/>
      <c r="BZT40" s="299"/>
      <c r="BZU40" s="299"/>
      <c r="BZV40" s="299"/>
      <c r="BZW40" s="299"/>
      <c r="BZX40" s="299"/>
      <c r="BZY40" s="299"/>
      <c r="BZZ40" s="280"/>
      <c r="CAA40" s="281"/>
      <c r="CAB40" s="281"/>
      <c r="CAC40" s="282"/>
    </row>
    <row r="41" spans="1:49 2022:2057" ht="21" customHeight="1" x14ac:dyDescent="0.4">
      <c r="A41" s="12"/>
      <c r="B41" s="15">
        <v>0.01</v>
      </c>
      <c r="C41" s="15">
        <v>0.05</v>
      </c>
      <c r="D41" s="15">
        <v>0.05</v>
      </c>
      <c r="E41" s="15">
        <v>0.05</v>
      </c>
      <c r="F41" s="15">
        <v>0.05</v>
      </c>
      <c r="G41" s="15">
        <v>0.05</v>
      </c>
      <c r="H41" s="15"/>
      <c r="I41" s="15"/>
      <c r="J41" s="15"/>
      <c r="K41" s="88">
        <v>8</v>
      </c>
      <c r="L41" s="46" t="s">
        <v>111</v>
      </c>
      <c r="M41" s="43"/>
      <c r="N41" s="244"/>
      <c r="O41" s="20"/>
      <c r="P41" s="20"/>
      <c r="Q41" s="20"/>
      <c r="R41" s="20"/>
      <c r="S41" s="20"/>
      <c r="T41" s="20"/>
      <c r="U41" s="20">
        <v>8</v>
      </c>
      <c r="V41" s="128"/>
      <c r="W41" s="7">
        <f t="shared" si="6"/>
        <v>0.1</v>
      </c>
      <c r="X41" s="22">
        <f>'info weging'!B26</f>
        <v>0.02</v>
      </c>
      <c r="Y41" s="22">
        <f>'info weging'!C26</f>
        <v>0.1</v>
      </c>
      <c r="Z41" s="22">
        <f>'info weging'!D26</f>
        <v>0.1</v>
      </c>
      <c r="AA41" s="22">
        <f>'info weging'!E26</f>
        <v>0.1</v>
      </c>
      <c r="AB41" s="22">
        <f>'info weging'!F26</f>
        <v>0.1</v>
      </c>
      <c r="AC41" s="23">
        <f>'info weging'!G26</f>
        <v>0.1</v>
      </c>
      <c r="AD41" s="23">
        <f>'info weging'!H26</f>
        <v>0.125</v>
      </c>
      <c r="AE41" s="78"/>
      <c r="AF41" s="64"/>
      <c r="AG41" s="64"/>
      <c r="AH41" s="64"/>
      <c r="AI41" s="64"/>
      <c r="AJ41" s="65"/>
      <c r="AK41" s="65"/>
      <c r="AL41" s="265"/>
      <c r="AM41" s="203"/>
      <c r="AN41" s="201">
        <f>'print Basis'!P36</f>
        <v>0.1</v>
      </c>
      <c r="AO41" s="128"/>
      <c r="AP41" s="621" t="e">
        <f>AN41*(AL42*AN42)</f>
        <v>#VALUE!</v>
      </c>
      <c r="AQ41" s="5"/>
      <c r="AR41" s="779"/>
      <c r="AS41" s="20"/>
      <c r="AT41" s="20"/>
      <c r="AU41" s="20"/>
      <c r="BYT41" s="299"/>
      <c r="BYU41" s="299"/>
      <c r="BYV41" s="299"/>
      <c r="BYW41" s="299"/>
      <c r="BYX41" s="299"/>
      <c r="BYY41" s="662"/>
      <c r="BYZ41" s="662"/>
      <c r="BZA41" s="663"/>
      <c r="BZB41" s="663"/>
      <c r="BZC41" s="662"/>
      <c r="BZD41" s="662"/>
      <c r="BZE41" s="663"/>
      <c r="BZF41" s="662"/>
      <c r="BZG41" s="662"/>
      <c r="BZH41" s="662"/>
      <c r="BZI41" s="663"/>
      <c r="BZJ41" s="662"/>
      <c r="BZK41" s="662"/>
      <c r="BZL41" s="662"/>
      <c r="BZM41" s="663"/>
      <c r="BZN41" s="662"/>
      <c r="BZO41" s="662"/>
      <c r="BZP41" s="662"/>
      <c r="BZQ41" s="663"/>
      <c r="BZR41" s="299"/>
      <c r="BZS41" s="299"/>
      <c r="BZT41" s="299"/>
      <c r="BZU41" s="299"/>
      <c r="BZV41" s="299"/>
      <c r="BZW41" s="299"/>
      <c r="BZX41" s="299"/>
      <c r="BZY41" s="299"/>
      <c r="BZZ41" s="280"/>
      <c r="CAA41" s="281"/>
      <c r="CAB41" s="281"/>
      <c r="CAC41" s="282"/>
    </row>
    <row r="42" spans="1:49 2022:2057" ht="40.200000000000003" customHeight="1" x14ac:dyDescent="0.4">
      <c r="A42" s="12"/>
      <c r="B42" s="16">
        <v>1</v>
      </c>
      <c r="C42" s="16">
        <v>1</v>
      </c>
      <c r="D42" s="16">
        <v>1</v>
      </c>
      <c r="E42" s="16">
        <v>1</v>
      </c>
      <c r="F42" s="16">
        <v>1</v>
      </c>
      <c r="G42" s="16">
        <v>1</v>
      </c>
      <c r="H42" s="16"/>
      <c r="I42" s="16"/>
      <c r="J42" s="16"/>
      <c r="K42" s="452" t="s">
        <v>60</v>
      </c>
      <c r="L42" s="549" t="s">
        <v>305</v>
      </c>
      <c r="M42" s="551" t="str">
        <f>IF(N42="","         klik hier op linkermuisknop + selecteer via het pull down menu het gerealiseerd circulaire doel","")</f>
        <v xml:space="preserve">         klik hier op linkermuisknop + selecteer via het pull down menu het gerealiseerd circulaire doel</v>
      </c>
      <c r="N42" s="210"/>
      <c r="O42" s="38"/>
      <c r="P42" s="38"/>
      <c r="Q42" s="38"/>
      <c r="R42" s="38"/>
      <c r="S42" s="38"/>
      <c r="T42" s="38"/>
      <c r="U42" s="38"/>
      <c r="V42" s="204"/>
      <c r="W42" s="6">
        <f t="shared" si="6"/>
        <v>1</v>
      </c>
      <c r="X42" s="28">
        <f>'info weging'!B27</f>
        <v>1</v>
      </c>
      <c r="Y42" s="28">
        <f>'info weging'!C27</f>
        <v>1</v>
      </c>
      <c r="Z42" s="28">
        <f>'info weging'!D27</f>
        <v>1</v>
      </c>
      <c r="AA42" s="28">
        <f>'info weging'!E27</f>
        <v>1</v>
      </c>
      <c r="AB42" s="28">
        <f>'info weging'!F27</f>
        <v>1</v>
      </c>
      <c r="AC42" s="29">
        <f>'info weging'!G27</f>
        <v>1</v>
      </c>
      <c r="AD42" s="29">
        <f>'info weging'!H27</f>
        <v>1</v>
      </c>
      <c r="AE42" s="105" t="e">
        <f>VLOOKUP(N42,'info weging'!$A$36:$H$163,2,FALSE)</f>
        <v>#N/A</v>
      </c>
      <c r="AF42" s="10" t="e">
        <f>VLOOKUP(N42,'info weging'!$A$36:$H$163,3,FALSE)</f>
        <v>#N/A</v>
      </c>
      <c r="AG42" s="10" t="e">
        <f>VLOOKUP(N42,'info weging'!$A$36:$H$163,4,FALSE)</f>
        <v>#N/A</v>
      </c>
      <c r="AH42" s="10" t="e">
        <f>VLOOKUP(N42,'info weging'!$A$36:$H$163,5,FALSE)</f>
        <v>#N/A</v>
      </c>
      <c r="AI42" s="10" t="e">
        <f>VLOOKUP(N42,'info weging'!$A$36:$H$163,6,FALSE)</f>
        <v>#N/A</v>
      </c>
      <c r="AJ42" s="11" t="e">
        <f>VLOOKUP(N42,'info weging'!$A$36:$H$163,7,FALSE)</f>
        <v>#N/A</v>
      </c>
      <c r="AK42" s="11" t="e">
        <f>VLOOKUP(N42,'info weging'!$A$36:$H$163,8,FALSE)</f>
        <v>#N/A</v>
      </c>
      <c r="AL42" s="266" t="str">
        <f>IF(COUNTA(N42)=1,AE42*$AE$15+AF42*$AF$15+AG42*$AG$15+AH42*$AH$15+AI42*$AI$15+AJ42*$AJ$15+AK42*$AK$15,"----")</f>
        <v>----</v>
      </c>
      <c r="AM42" s="204"/>
      <c r="AN42" s="205">
        <f>'print Basis'!P37</f>
        <v>1</v>
      </c>
      <c r="AO42" s="204"/>
      <c r="AP42" s="623"/>
      <c r="AQ42" s="5"/>
      <c r="AR42" s="778"/>
      <c r="AS42" s="20"/>
      <c r="AT42" s="20"/>
      <c r="AU42" s="20"/>
      <c r="BYT42" s="299"/>
      <c r="BYU42" s="299"/>
      <c r="BYV42" s="299"/>
      <c r="BYW42" s="299"/>
      <c r="BYX42" s="299"/>
      <c r="BYY42" s="299"/>
      <c r="BYZ42" s="299"/>
      <c r="BZA42" s="299"/>
      <c r="BZB42" s="299"/>
      <c r="BZC42" s="299"/>
      <c r="BZD42" s="299"/>
      <c r="BZE42" s="299"/>
      <c r="BZF42" s="299"/>
      <c r="BZG42" s="299"/>
      <c r="BZH42" s="299"/>
      <c r="BZI42" s="299"/>
      <c r="BZJ42" s="299"/>
      <c r="BZK42" s="299"/>
      <c r="BZL42" s="299"/>
      <c r="BZM42" s="299"/>
      <c r="BZN42" s="299"/>
      <c r="BZO42" s="299"/>
      <c r="BZP42" s="299"/>
      <c r="BZQ42" s="299"/>
      <c r="BZR42" s="299"/>
      <c r="BZS42" s="299"/>
      <c r="BZT42" s="299"/>
      <c r="BZU42" s="299"/>
      <c r="BZV42" s="299"/>
      <c r="BZW42" s="299"/>
      <c r="BZX42" s="299"/>
      <c r="BZY42" s="299"/>
      <c r="BZZ42" s="280"/>
      <c r="CAA42" s="281"/>
      <c r="CAB42" s="281"/>
      <c r="CAC42" s="282"/>
    </row>
    <row r="43" spans="1:49 2022:2057" ht="12.6" customHeight="1" x14ac:dyDescent="0.65">
      <c r="L43" s="648"/>
      <c r="N43" s="116" t="e">
        <f t="shared" ref="N43:U43" si="11">BZJ63</f>
        <v>#N/A</v>
      </c>
      <c r="O43" s="116" t="e">
        <f t="shared" si="11"/>
        <v>#N/A</v>
      </c>
      <c r="P43" s="116" t="e">
        <f t="shared" si="11"/>
        <v>#N/A</v>
      </c>
      <c r="Q43" s="116" t="e">
        <f t="shared" si="11"/>
        <v>#N/A</v>
      </c>
      <c r="R43" s="116" t="e">
        <f t="shared" si="11"/>
        <v>#N/A</v>
      </c>
      <c r="S43" s="116" t="e">
        <f t="shared" si="11"/>
        <v>#N/A</v>
      </c>
      <c r="T43" s="116" t="e">
        <f t="shared" si="11"/>
        <v>#N/A</v>
      </c>
      <c r="U43" s="116" t="e">
        <f t="shared" si="11"/>
        <v>#N/A</v>
      </c>
      <c r="V43" s="116">
        <f t="shared" ref="V43:AP43" si="12">J55</f>
        <v>0</v>
      </c>
      <c r="W43" s="116">
        <f t="shared" si="12"/>
        <v>3</v>
      </c>
      <c r="X43" s="116" t="e">
        <f t="shared" si="12"/>
        <v>#N/A</v>
      </c>
      <c r="Y43" s="116">
        <f t="shared" si="12"/>
        <v>0</v>
      </c>
      <c r="Z43" s="116" t="str">
        <f t="shared" si="12"/>
        <v>Duurzaam gebruik van bestaande objecten, materialen, grondstoffen en natuurlijke processen</v>
      </c>
      <c r="AA43" s="116">
        <f t="shared" si="12"/>
        <v>0</v>
      </c>
      <c r="AB43" s="116">
        <f t="shared" si="12"/>
        <v>0</v>
      </c>
      <c r="AC43" s="116">
        <f t="shared" si="12"/>
        <v>0</v>
      </c>
      <c r="AD43" s="116">
        <f t="shared" si="12"/>
        <v>0</v>
      </c>
      <c r="AE43" s="116">
        <f t="shared" si="12"/>
        <v>0</v>
      </c>
      <c r="AF43" s="116">
        <f t="shared" si="12"/>
        <v>0</v>
      </c>
      <c r="AG43" s="116">
        <f t="shared" si="12"/>
        <v>0</v>
      </c>
      <c r="AH43" s="116">
        <f t="shared" si="12"/>
        <v>0</v>
      </c>
      <c r="AI43" s="116">
        <f t="shared" si="12"/>
        <v>0</v>
      </c>
      <c r="AJ43" s="116">
        <f t="shared" si="12"/>
        <v>0</v>
      </c>
      <c r="AK43" s="116">
        <f t="shared" si="12"/>
        <v>0</v>
      </c>
      <c r="AL43" s="116">
        <f t="shared" si="12"/>
        <v>0</v>
      </c>
      <c r="AM43" s="116">
        <f t="shared" si="12"/>
        <v>0</v>
      </c>
      <c r="AN43" s="116">
        <f t="shared" si="12"/>
        <v>0</v>
      </c>
      <c r="AO43" s="116">
        <f t="shared" si="12"/>
        <v>0</v>
      </c>
      <c r="AP43" s="624">
        <f t="shared" si="12"/>
        <v>0</v>
      </c>
      <c r="AR43" s="358"/>
      <c r="BYT43" s="299"/>
      <c r="BYU43" s="299"/>
      <c r="BYV43" s="299"/>
      <c r="BYW43" s="299"/>
      <c r="BYX43" s="299"/>
      <c r="BYY43" s="299"/>
      <c r="BYZ43" s="299"/>
      <c r="BZA43" s="299"/>
      <c r="BZB43" s="299"/>
      <c r="BZC43" s="299"/>
      <c r="BZD43" s="299"/>
      <c r="BZE43" s="299"/>
      <c r="BZF43" s="299"/>
      <c r="BZG43" s="299"/>
      <c r="BZH43" s="299"/>
      <c r="BZI43" s="299"/>
      <c r="BZJ43" s="299"/>
      <c r="BZK43" s="299"/>
      <c r="BZL43" s="299"/>
      <c r="BZM43" s="299"/>
      <c r="BZN43" s="299"/>
      <c r="BZO43" s="299"/>
      <c r="BZP43" s="299"/>
      <c r="BZQ43" s="299"/>
      <c r="BZR43" s="299"/>
      <c r="BZS43" s="299"/>
      <c r="BZT43" s="299"/>
      <c r="BZU43" s="299"/>
      <c r="BZV43" s="299"/>
      <c r="BZW43" s="299"/>
      <c r="BZX43" s="299"/>
      <c r="BZY43" s="299"/>
      <c r="BZZ43" s="280"/>
      <c r="CAA43" s="281"/>
      <c r="CAB43" s="281"/>
      <c r="CAC43" s="282"/>
    </row>
    <row r="44" spans="1:49 2022:2057" ht="21" x14ac:dyDescent="0.4">
      <c r="J44" s="112"/>
      <c r="K44" s="716" t="s">
        <v>384</v>
      </c>
      <c r="L44" s="717"/>
      <c r="M44" s="551" t="str">
        <f>IF(N44="","         optioneel: voor innovatieve additionele maatregelen max 10 punten. Vul hier aantal BONUS punten in (max 10).","")</f>
        <v xml:space="preserve">         optioneel: voor innovatieve additionele maatregelen max 10 punten. Vul hier aantal BONUS punten in (max 10).</v>
      </c>
      <c r="N44" s="718"/>
      <c r="O44" s="20"/>
      <c r="P44" s="472"/>
      <c r="Q44" s="472"/>
      <c r="R44" s="472"/>
      <c r="S44" s="472"/>
      <c r="T44" s="472"/>
      <c r="U44" s="472"/>
      <c r="V44" s="472"/>
      <c r="W44" s="472"/>
      <c r="X44" s="472"/>
      <c r="Y44" s="472"/>
      <c r="Z44" s="472"/>
      <c r="AA44" s="472"/>
      <c r="AB44" s="472"/>
      <c r="AC44" s="472"/>
      <c r="AD44" s="472"/>
      <c r="AE44" s="472"/>
      <c r="AF44" s="472"/>
      <c r="AG44" s="472"/>
      <c r="AH44" s="472"/>
      <c r="AI44" s="472"/>
      <c r="AJ44" s="472"/>
      <c r="AK44" s="472"/>
      <c r="AL44" s="734">
        <f>N44</f>
        <v>0</v>
      </c>
      <c r="AM44" s="203"/>
      <c r="AN44" s="201">
        <f>IF(AL44&lt;10.000001,100%,"max_10")</f>
        <v>1</v>
      </c>
      <c r="AO44" s="128"/>
      <c r="AP44" s="722">
        <f>IF(AL44&lt;10.0000001,AL44,10)</f>
        <v>0</v>
      </c>
      <c r="AQ44" s="723" t="str">
        <f>IF(AP44&gt;0,"             geef korte toelichting op waardering BONUS maatregel","")</f>
        <v/>
      </c>
      <c r="AR44" s="780"/>
      <c r="BYT44" s="299"/>
      <c r="BYU44" s="299"/>
      <c r="BYV44" s="299"/>
      <c r="BYW44" s="299"/>
      <c r="BYX44" s="299"/>
      <c r="BYY44" s="299"/>
      <c r="BYZ44" s="299"/>
      <c r="BZA44" s="299"/>
      <c r="BZB44" s="299"/>
      <c r="BZC44" s="662"/>
      <c r="BZD44" s="299"/>
      <c r="BZE44" s="299"/>
      <c r="BZF44" s="299"/>
      <c r="BZG44" s="299"/>
      <c r="BZH44" s="299"/>
      <c r="BZI44" s="299"/>
      <c r="BZJ44" s="299"/>
      <c r="BZK44" s="299"/>
      <c r="BZL44" s="299"/>
      <c r="BZM44" s="299"/>
      <c r="BZN44" s="299"/>
      <c r="BZO44" s="299"/>
      <c r="BZP44" s="299"/>
      <c r="BZQ44" s="299"/>
      <c r="BZR44" s="299"/>
      <c r="BZS44" s="299"/>
      <c r="BZT44" s="299"/>
      <c r="BZU44" s="299"/>
      <c r="BZV44" s="299"/>
      <c r="BZW44" s="299"/>
      <c r="BZX44" s="299"/>
      <c r="BZY44" s="299"/>
      <c r="BZZ44" s="280"/>
      <c r="CAA44" s="281"/>
      <c r="CAB44" s="281"/>
      <c r="CAC44" s="282"/>
    </row>
    <row r="45" spans="1:49 2022:2057" ht="8.4" customHeight="1" thickBot="1" x14ac:dyDescent="0.35">
      <c r="J45" s="113"/>
      <c r="K45" s="4"/>
      <c r="L45" s="4"/>
      <c r="M45" s="4"/>
      <c r="X45" s="32" t="s">
        <v>30</v>
      </c>
      <c r="Y45" s="32" t="s">
        <v>31</v>
      </c>
      <c r="Z45" s="32" t="s">
        <v>32</v>
      </c>
      <c r="AA45" s="32" t="s">
        <v>33</v>
      </c>
      <c r="AB45" s="32" t="s">
        <v>34</v>
      </c>
      <c r="AC45" s="32" t="s">
        <v>35</v>
      </c>
      <c r="AE45" s="80" t="s">
        <v>30</v>
      </c>
      <c r="AF45" s="32" t="s">
        <v>31</v>
      </c>
      <c r="AG45" s="32" t="s">
        <v>32</v>
      </c>
      <c r="AH45" s="32" t="s">
        <v>33</v>
      </c>
      <c r="AI45" s="32" t="s">
        <v>34</v>
      </c>
      <c r="AJ45" s="32" t="s">
        <v>35</v>
      </c>
      <c r="AK45" s="32" t="s">
        <v>39</v>
      </c>
      <c r="AR45" s="37"/>
      <c r="BYT45" s="299"/>
      <c r="BYU45" s="299"/>
      <c r="BYV45" s="299"/>
      <c r="BYW45" s="299"/>
      <c r="BYX45" s="299"/>
      <c r="BYY45" s="299"/>
      <c r="BYZ45" s="299"/>
      <c r="BZA45" s="299"/>
      <c r="BZB45" s="299"/>
      <c r="BZC45" s="299"/>
      <c r="BZD45" s="299"/>
      <c r="BZE45" s="299"/>
      <c r="BZF45" s="299"/>
      <c r="BZG45" s="299"/>
      <c r="BZH45" s="299"/>
      <c r="BZI45" s="299"/>
      <c r="BZJ45" s="299"/>
      <c r="BZK45" s="299"/>
      <c r="BZL45" s="299"/>
      <c r="BZM45" s="299"/>
      <c r="BZN45" s="299"/>
      <c r="BZO45" s="299"/>
      <c r="BZP45" s="299"/>
      <c r="BZQ45" s="299"/>
      <c r="BZR45" s="299"/>
      <c r="BZS45" s="299"/>
      <c r="BZT45" s="299"/>
      <c r="BZU45" s="299"/>
      <c r="BZV45" s="299"/>
      <c r="BZW45" s="299"/>
      <c r="BZX45" s="299"/>
      <c r="BZY45" s="299"/>
      <c r="BZZ45" s="285"/>
      <c r="CAA45" s="286"/>
      <c r="CAB45" s="286"/>
      <c r="CAC45" s="287"/>
    </row>
    <row r="46" spans="1:49 2022:2057" ht="18" hidden="1" x14ac:dyDescent="0.35">
      <c r="J46" s="114"/>
      <c r="L46" s="47"/>
      <c r="AR46" s="37"/>
      <c r="BYT46" s="299"/>
      <c r="BYU46" s="299"/>
      <c r="BYV46" s="299"/>
      <c r="BYW46" s="299"/>
      <c r="BYX46" s="299"/>
      <c r="BYY46" s="299"/>
      <c r="BYZ46" s="299"/>
      <c r="BZA46" s="299"/>
      <c r="BZB46" s="299"/>
      <c r="BZC46" s="299"/>
      <c r="BZD46" s="299"/>
      <c r="BZE46" s="299"/>
      <c r="BZF46" s="299"/>
      <c r="BZG46" s="299"/>
      <c r="BZH46" s="299"/>
      <c r="BZI46" s="299"/>
      <c r="BZJ46" s="299"/>
      <c r="BZK46" s="299"/>
      <c r="BZL46" s="299"/>
      <c r="BZM46" s="299"/>
      <c r="BZN46" s="299"/>
      <c r="BZO46" s="299"/>
      <c r="BZP46" s="299"/>
      <c r="BZQ46" s="299"/>
      <c r="BZR46" s="299"/>
      <c r="BZS46" s="299"/>
      <c r="BZT46" s="299"/>
      <c r="BZU46" s="299"/>
      <c r="BZV46" s="299"/>
      <c r="BZW46" s="299"/>
      <c r="BZX46" s="299"/>
      <c r="BZY46" s="299"/>
    </row>
    <row r="47" spans="1:49 2022:2057" ht="18" hidden="1" x14ac:dyDescent="0.35">
      <c r="J47" s="114"/>
      <c r="K47" s="180">
        <f>'print Basis'!G11</f>
        <v>2</v>
      </c>
      <c r="L47" s="206" t="str">
        <f>"Samenvatting resultaten Procesmonitor Circulaire Peiler van de"&amp;" "&amp;N8</f>
        <v>Samenvatting resultaten Procesmonitor Circulaire Peiler van de verkenningsfase</v>
      </c>
      <c r="M47" s="179"/>
      <c r="N47" s="206"/>
      <c r="O47" s="179"/>
      <c r="P47" s="179"/>
      <c r="Q47" s="179"/>
      <c r="R47" s="179"/>
      <c r="S47" s="179"/>
      <c r="T47" s="179"/>
      <c r="U47" s="179"/>
      <c r="V47" s="179"/>
      <c r="W47" s="179"/>
      <c r="X47" s="179"/>
      <c r="Y47" s="179"/>
      <c r="Z47" s="179"/>
      <c r="AA47" s="179"/>
      <c r="AB47" s="179"/>
      <c r="AC47" s="179"/>
      <c r="AD47" s="179"/>
      <c r="AE47" s="179"/>
      <c r="AF47" s="179"/>
      <c r="AG47" s="179"/>
      <c r="AH47" s="179"/>
      <c r="AI47" s="179"/>
      <c r="AJ47" s="179"/>
      <c r="AK47" s="179"/>
      <c r="AL47" s="179"/>
      <c r="AM47" s="179"/>
      <c r="AN47" s="182"/>
      <c r="AO47" s="179"/>
      <c r="AP47" s="625"/>
      <c r="AR47" s="358"/>
      <c r="BYT47" s="299"/>
      <c r="BYU47" s="299"/>
      <c r="BYV47" s="299"/>
      <c r="BYW47" s="299"/>
      <c r="BYX47" s="299"/>
      <c r="BYY47" s="299"/>
      <c r="BYZ47" s="299"/>
      <c r="BZA47" s="299"/>
      <c r="BZB47" s="299"/>
      <c r="BZC47" s="299"/>
      <c r="BZD47" s="299"/>
      <c r="BZE47" s="299"/>
      <c r="BZF47" s="299"/>
      <c r="BZG47" s="299"/>
      <c r="BZH47" s="299"/>
      <c r="BZI47" s="299"/>
      <c r="BZJ47" s="299"/>
      <c r="BZK47" s="299"/>
      <c r="BZL47" s="299"/>
      <c r="BZM47" s="299"/>
      <c r="BZN47" s="299"/>
      <c r="BZO47" s="299"/>
      <c r="BZP47" s="299"/>
      <c r="BZQ47" s="299"/>
      <c r="BZR47" s="299"/>
      <c r="BZS47" s="299"/>
      <c r="BZT47" s="299"/>
      <c r="BZU47" s="299"/>
      <c r="BZV47" s="299"/>
      <c r="BZW47" s="299"/>
      <c r="BZX47" s="299"/>
      <c r="BZY47" s="299"/>
    </row>
    <row r="48" spans="1:49 2022:2057" ht="18" hidden="1" x14ac:dyDescent="0.35">
      <c r="J48" s="114"/>
      <c r="K48" s="119"/>
      <c r="L48" s="233" t="str">
        <f>'print Basis'!G8</f>
        <v>Projectnaam</v>
      </c>
      <c r="M48" s="81"/>
      <c r="N48" s="234" t="str">
        <f>'print Basis'!G10</f>
        <v>invoer Basis</v>
      </c>
      <c r="O48" s="81"/>
      <c r="P48" s="81"/>
      <c r="Q48" s="81"/>
      <c r="R48" s="81"/>
      <c r="S48" s="81"/>
      <c r="T48" s="81"/>
      <c r="U48" s="81"/>
      <c r="V48" s="81"/>
      <c r="W48" s="81"/>
      <c r="X48" s="81"/>
      <c r="Y48" s="81"/>
      <c r="Z48" s="81"/>
      <c r="AA48" s="81"/>
      <c r="AB48" s="81"/>
      <c r="AC48" s="81"/>
      <c r="AD48" s="81"/>
      <c r="AE48" s="81"/>
      <c r="AF48" s="81"/>
      <c r="AG48" s="81"/>
      <c r="AH48" s="81"/>
      <c r="AI48" s="81"/>
      <c r="AJ48" s="81"/>
      <c r="AK48" s="81"/>
      <c r="AL48" s="81"/>
      <c r="AM48" s="81"/>
      <c r="AN48" s="165"/>
      <c r="AO48" s="81"/>
      <c r="AP48" s="626"/>
      <c r="AR48" s="358"/>
      <c r="BYT48" s="299"/>
      <c r="BYU48" s="299"/>
      <c r="BYV48" s="299"/>
      <c r="BYW48" s="299"/>
      <c r="BYX48" s="299"/>
      <c r="BYY48" s="299"/>
      <c r="BYZ48" s="299"/>
      <c r="BZA48" s="299"/>
      <c r="BZB48" s="299"/>
      <c r="BZC48" s="299"/>
      <c r="BZD48" s="299"/>
      <c r="BZE48" s="299"/>
      <c r="BZF48" s="299"/>
      <c r="BZG48" s="299"/>
      <c r="BZH48" s="299"/>
      <c r="BZI48" s="299"/>
      <c r="BZJ48" s="299"/>
      <c r="BZK48" s="299"/>
      <c r="BZL48" s="299"/>
      <c r="BZM48" s="299"/>
      <c r="BZN48" s="299"/>
      <c r="BZO48" s="299"/>
      <c r="BZP48" s="299"/>
      <c r="BZQ48" s="299"/>
      <c r="BZR48" s="299"/>
      <c r="BZS48" s="299"/>
      <c r="BZT48" s="299"/>
      <c r="BZU48" s="299"/>
      <c r="BZV48" s="299"/>
      <c r="BZW48" s="299"/>
      <c r="BZX48" s="299"/>
      <c r="BZY48" s="299"/>
    </row>
    <row r="49" spans="10:44 2022:2053" ht="18" hidden="1" x14ac:dyDescent="0.35">
      <c r="J49" s="114"/>
      <c r="K49" s="30"/>
      <c r="L49" s="47" t="s">
        <v>114</v>
      </c>
      <c r="M49" s="20"/>
      <c r="N49" s="181" t="e">
        <f>ROUND('C1'!L61,0)</f>
        <v>#N/A</v>
      </c>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183"/>
      <c r="AO49" s="20"/>
      <c r="AP49" s="627"/>
      <c r="AR49" s="358"/>
      <c r="BYT49" s="299"/>
      <c r="BYU49" s="299"/>
      <c r="BYV49" s="299"/>
      <c r="BYW49" s="299"/>
      <c r="BYX49" s="299"/>
      <c r="BYY49" s="299"/>
      <c r="BYZ49" s="299"/>
      <c r="BZA49" s="299"/>
      <c r="BZB49" s="299"/>
      <c r="BZC49" s="299"/>
      <c r="BZD49" s="299"/>
      <c r="BZE49" s="299"/>
      <c r="BZF49" s="299"/>
      <c r="BZG49" s="299"/>
      <c r="BZH49" s="299"/>
      <c r="BZI49" s="299"/>
      <c r="BZJ49" s="299"/>
      <c r="BZK49" s="299"/>
      <c r="BZL49" s="299"/>
      <c r="BZM49" s="299"/>
      <c r="BZN49" s="299"/>
      <c r="BZO49" s="299"/>
      <c r="BZP49" s="299"/>
      <c r="BZQ49" s="299"/>
      <c r="BZR49" s="299"/>
      <c r="BZS49" s="299"/>
      <c r="BZT49" s="299"/>
      <c r="BZU49" s="299"/>
      <c r="BZV49" s="299"/>
      <c r="BZW49" s="299"/>
      <c r="BZX49" s="299"/>
      <c r="BZY49" s="299"/>
    </row>
    <row r="50" spans="10:44 2022:2053" hidden="1" x14ac:dyDescent="0.3">
      <c r="J50" s="114"/>
      <c r="K50" s="3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183"/>
      <c r="AO50" s="20"/>
      <c r="AP50" s="627"/>
      <c r="AR50" s="358"/>
      <c r="BYT50" s="299"/>
      <c r="BYU50" s="299"/>
      <c r="BYV50" s="299"/>
      <c r="BYW50" s="299"/>
      <c r="BYX50" s="299"/>
      <c r="BYY50" s="299"/>
      <c r="BYZ50" s="299"/>
      <c r="BZA50" s="299"/>
      <c r="BZB50" s="299"/>
      <c r="BZC50" s="299"/>
      <c r="BZD50" s="299"/>
      <c r="BZE50" s="299"/>
      <c r="BZF50" s="299"/>
      <c r="BZG50" s="299"/>
      <c r="BZH50" s="299"/>
      <c r="BZI50" s="299"/>
      <c r="BZJ50" s="299"/>
      <c r="BZK50" s="299"/>
      <c r="BZL50" s="299"/>
      <c r="BZM50" s="299"/>
      <c r="BZN50" s="299"/>
      <c r="BZO50" s="299"/>
      <c r="BZP50" s="299"/>
      <c r="BZQ50" s="299"/>
      <c r="BZR50" s="299"/>
      <c r="BZS50" s="299"/>
      <c r="BZT50" s="299"/>
      <c r="BZU50" s="299"/>
      <c r="BZV50" s="299"/>
      <c r="BZW50" s="299"/>
      <c r="BZX50" s="299"/>
      <c r="BZY50" s="299"/>
    </row>
    <row r="51" spans="10:44 2022:2053" ht="13.95" hidden="1" customHeight="1" x14ac:dyDescent="0.3">
      <c r="J51" s="114"/>
      <c r="K51" s="31"/>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184"/>
      <c r="AO51" s="38"/>
      <c r="AP51" s="628"/>
      <c r="AR51" s="358"/>
      <c r="BYT51" s="299"/>
      <c r="BYU51" s="299"/>
      <c r="BYV51" s="299"/>
      <c r="BYW51" s="299"/>
      <c r="BYX51" s="299"/>
      <c r="BYY51" s="299"/>
      <c r="BYZ51" s="299"/>
      <c r="BZA51" s="299"/>
      <c r="BZB51" s="299"/>
      <c r="BZC51" s="299"/>
      <c r="BZD51" s="299"/>
      <c r="BZE51" s="299"/>
      <c r="BZF51" s="299"/>
      <c r="BZG51" s="299"/>
      <c r="BZH51" s="299"/>
      <c r="BZI51" s="299"/>
      <c r="BZJ51" s="299"/>
      <c r="BZK51" s="299"/>
      <c r="BZL51" s="299"/>
      <c r="BZM51" s="299"/>
      <c r="BZN51" s="299"/>
      <c r="BZO51" s="299"/>
      <c r="BZP51" s="299"/>
      <c r="BZQ51" s="299"/>
      <c r="BZR51" s="299"/>
      <c r="BZS51" s="299"/>
      <c r="BZT51" s="299"/>
      <c r="BZU51" s="299"/>
      <c r="BZV51" s="299"/>
      <c r="BZW51" s="299"/>
      <c r="BZX51" s="299"/>
      <c r="BZY51" s="299"/>
    </row>
    <row r="52" spans="10:44 2022:2053" ht="18" hidden="1" x14ac:dyDescent="0.35">
      <c r="J52" s="114"/>
      <c r="K52" s="185"/>
      <c r="L52" s="473" t="s">
        <v>115</v>
      </c>
      <c r="M52" s="186"/>
      <c r="N52" s="187" t="s">
        <v>116</v>
      </c>
      <c r="O52" s="81"/>
      <c r="P52" s="81"/>
      <c r="Q52" s="81"/>
      <c r="R52" s="81"/>
      <c r="S52" s="81"/>
      <c r="T52" s="81"/>
      <c r="U52" s="81"/>
      <c r="V52" s="81"/>
      <c r="W52" s="81"/>
      <c r="X52" s="81"/>
      <c r="Y52" s="81"/>
      <c r="Z52" s="81"/>
      <c r="AA52" s="81"/>
      <c r="AB52" s="81"/>
      <c r="AC52" s="81"/>
      <c r="AD52" s="81"/>
      <c r="AE52" s="81"/>
      <c r="AF52" s="81"/>
      <c r="AG52" s="81"/>
      <c r="AH52" s="81"/>
      <c r="AI52" s="81"/>
      <c r="AJ52" s="81"/>
      <c r="AK52" s="81"/>
      <c r="AL52" s="81"/>
      <c r="AM52" s="81"/>
      <c r="AN52" s="165"/>
      <c r="AO52" s="81"/>
      <c r="AP52" s="629" t="str">
        <f>"Circulaire Peiler "&amp;'print Basis'!O5 &amp;"   "&amp; 'print Basis'!P5</f>
        <v>Circulaire Peiler ?   ?</v>
      </c>
      <c r="AR52" s="358"/>
      <c r="BYT52" s="299"/>
      <c r="BYU52" s="299"/>
      <c r="BYV52" s="299"/>
      <c r="BYW52" s="299"/>
      <c r="BYX52" s="299"/>
      <c r="BYY52" s="299"/>
      <c r="BYZ52" s="299"/>
      <c r="BZA52" s="299"/>
      <c r="BZB52" s="299"/>
      <c r="BZC52" s="299"/>
      <c r="BZD52" s="299"/>
      <c r="BZE52" s="299"/>
      <c r="BZF52" s="299"/>
      <c r="BZG52" s="299"/>
      <c r="BZH52" s="299"/>
      <c r="BZI52" s="664" t="s">
        <v>117</v>
      </c>
      <c r="BZJ52" s="664"/>
      <c r="BZK52" s="664">
        <v>1</v>
      </c>
      <c r="BZL52" s="664">
        <v>2</v>
      </c>
      <c r="BZM52" s="664">
        <v>3</v>
      </c>
      <c r="BZN52" s="664">
        <v>4</v>
      </c>
      <c r="BZO52" s="664">
        <v>5</v>
      </c>
      <c r="BZP52" s="664">
        <v>6</v>
      </c>
      <c r="BZQ52" s="664">
        <v>7</v>
      </c>
      <c r="BZR52" s="299"/>
      <c r="BZS52" s="299"/>
      <c r="BZT52" s="299"/>
      <c r="BZU52" s="299"/>
      <c r="BZV52" s="299"/>
      <c r="BZW52" s="299"/>
      <c r="BZX52" s="299"/>
      <c r="BZY52" s="299"/>
    </row>
    <row r="53" spans="10:44 2022:2053" ht="18" hidden="1" customHeight="1" x14ac:dyDescent="0.35">
      <c r="J53" s="114"/>
      <c r="K53" s="563">
        <v>1</v>
      </c>
      <c r="L53" s="82" t="e">
        <f t="shared" ref="L53:L60" si="13">BZJ54</f>
        <v>#N/A</v>
      </c>
      <c r="M53" s="48"/>
      <c r="N53" s="47" t="str">
        <f t="shared" ref="N53:N60" si="14">BZI54</f>
        <v>Voorkómen: niet doen wat echt niet hoeft</v>
      </c>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183"/>
      <c r="AO53" s="20"/>
      <c r="AP53" s="627"/>
      <c r="AR53" s="37"/>
      <c r="BYT53" s="299"/>
      <c r="BYU53" s="299"/>
      <c r="BYV53" s="299"/>
      <c r="BYW53" s="299"/>
      <c r="BYX53" s="299"/>
      <c r="BYY53" s="299"/>
      <c r="BYZ53" s="299"/>
      <c r="BZA53" s="299"/>
      <c r="BZB53" s="299"/>
      <c r="BZC53" s="299"/>
      <c r="BZD53" s="299"/>
      <c r="BZE53" s="299"/>
      <c r="BZF53" s="299"/>
      <c r="BZG53" s="299"/>
      <c r="BZH53" s="299"/>
      <c r="BZI53" s="299"/>
      <c r="BZJ53" s="667" t="e">
        <f>""&amp;N47&amp;" CPI="&amp;BZJ63&amp;" (CPI2030=100)"</f>
        <v>#N/A</v>
      </c>
      <c r="BZK53" s="667" t="e">
        <f>"circulair peil verkenningsfase CP="&amp;BZJ63&amp;" (CP2030=100); indic. KRW-oost"</f>
        <v>#N/A</v>
      </c>
      <c r="BZL53" s="667" t="e">
        <f>"verkenningsfase scoort: "&amp;BZL63&amp;"% van de circulaire doelstelling 2030"</f>
        <v>#N/A</v>
      </c>
      <c r="BZM53" s="667" t="e">
        <f>"planuitwerkingsfase scoort: "&amp;BZM63&amp;"% van de circulaire doelstelling 2030"</f>
        <v>#N/A</v>
      </c>
      <c r="BZN53" s="667" t="e">
        <f>"contractvormingsfase scoort: "&amp;BZN63&amp;"% van de circadlaire doelstelling 2030"</f>
        <v>#N/A</v>
      </c>
      <c r="BZO53" s="667" t="e">
        <f>"realisatiefase scoort: "&amp;BZO63&amp;"% ahan de circulaire doelstelling 2030"</f>
        <v>#N/A</v>
      </c>
      <c r="BZP53" s="667" t="e">
        <f>"beheer/onderhoudsfase scoort: "&amp;BZP63&amp;"% van de circulaire doelstelling 2030"</f>
        <v>#N/A</v>
      </c>
      <c r="BZQ53" s="667" t="s">
        <v>118</v>
      </c>
      <c r="BZR53" s="299"/>
      <c r="BZS53" s="299"/>
      <c r="BZT53" s="299"/>
      <c r="BZU53" s="299"/>
      <c r="BZV53" s="299"/>
      <c r="BZW53" s="299"/>
      <c r="BZX53" s="299"/>
      <c r="BZY53" s="299"/>
    </row>
    <row r="54" spans="10:44 2022:2053" ht="18" hidden="1" x14ac:dyDescent="0.35">
      <c r="J54" s="114"/>
      <c r="K54" s="270">
        <v>2</v>
      </c>
      <c r="L54" s="82" t="e">
        <f t="shared" si="13"/>
        <v>#N/A</v>
      </c>
      <c r="M54" s="48"/>
      <c r="N54" s="47" t="str">
        <f t="shared" si="14"/>
        <v>Verleng de levensduur van bestaande objecten of componenten</v>
      </c>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183"/>
      <c r="AO54" s="20"/>
      <c r="AP54" s="627"/>
      <c r="AR54" s="37"/>
      <c r="BYT54" s="299"/>
      <c r="BYU54" s="299"/>
      <c r="BYV54" s="299"/>
      <c r="BYW54" s="299"/>
      <c r="BYX54" s="299"/>
      <c r="BYY54" s="299"/>
      <c r="BYZ54" s="299"/>
      <c r="BZA54" s="299"/>
      <c r="BZB54" s="299"/>
      <c r="BZC54" s="299"/>
      <c r="BZD54" s="299"/>
      <c r="BZE54" s="299"/>
      <c r="BZF54" s="299"/>
      <c r="BZG54" s="299"/>
      <c r="BZH54" s="299"/>
      <c r="BZI54" s="668" t="str">
        <f>L23</f>
        <v>Voorkómen: niet doen wat echt niet hoeft</v>
      </c>
      <c r="BZJ54" s="669" t="e">
        <f t="shared" ref="BZJ54:BZJ62" si="15">BZK54*$BZK$64+BZL54*$BZL$64+BZM54*$BZM$64+BZN54*$BZN$64+BZO54*$BZO$64+BZP54*$BZP$64+$BZQ$64*BZQ54</f>
        <v>#N/A</v>
      </c>
      <c r="BZK54" s="669" t="e">
        <f>BYY24</f>
        <v>#N/A</v>
      </c>
      <c r="BZL54" s="669" t="e">
        <f>BZC24</f>
        <v>#N/A</v>
      </c>
      <c r="BZM54" s="669" t="e">
        <f>BZG24</f>
        <v>#N/A</v>
      </c>
      <c r="BZN54" s="669" t="e">
        <f>BZK24</f>
        <v>#N/A</v>
      </c>
      <c r="BZO54" s="669" t="e">
        <f>BZO24</f>
        <v>#N/A</v>
      </c>
      <c r="BZP54" s="669" t="e">
        <f>BZS24</f>
        <v>#N/A</v>
      </c>
      <c r="BZQ54" s="669" t="e">
        <f>BZW24</f>
        <v>#N/A</v>
      </c>
      <c r="BZR54" s="299"/>
      <c r="BZS54" s="299"/>
      <c r="BZT54" s="299"/>
      <c r="BZU54" s="299"/>
      <c r="BZV54" s="299"/>
      <c r="BZW54" s="299"/>
      <c r="BZX54" s="299"/>
      <c r="BZY54" s="299"/>
    </row>
    <row r="55" spans="10:44 2022:2053" ht="18" hidden="1" x14ac:dyDescent="0.35">
      <c r="J55" s="115"/>
      <c r="K55" s="171">
        <v>3</v>
      </c>
      <c r="L55" s="82" t="e">
        <f t="shared" si="13"/>
        <v>#N/A</v>
      </c>
      <c r="M55" s="48"/>
      <c r="N55" s="47" t="str">
        <f t="shared" si="14"/>
        <v>Duurzaam gebruik van bestaande objecten, materialen, grondstoffen en natuurlijke processen</v>
      </c>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183"/>
      <c r="AO55" s="20"/>
      <c r="AP55" s="627"/>
      <c r="AR55" s="37"/>
      <c r="BYT55" s="299"/>
      <c r="BYU55" s="299"/>
      <c r="BYV55" s="299"/>
      <c r="BYW55" s="299"/>
      <c r="BYX55" s="299"/>
      <c r="BYY55" s="299"/>
      <c r="BYZ55" s="299"/>
      <c r="BZA55" s="299"/>
      <c r="BZB55" s="299"/>
      <c r="BZC55" s="299"/>
      <c r="BZD55" s="299"/>
      <c r="BZE55" s="299"/>
      <c r="BZF55" s="299"/>
      <c r="BZG55" s="299"/>
      <c r="BZH55" s="299"/>
      <c r="BZI55" s="668" t="str">
        <f>L25</f>
        <v>Verleng de levensduur van bestaande objecten of componenten</v>
      </c>
      <c r="BZJ55" s="669" t="e">
        <f t="shared" si="15"/>
        <v>#N/A</v>
      </c>
      <c r="BZK55" s="669" t="e">
        <f>BYY25</f>
        <v>#N/A</v>
      </c>
      <c r="BZL55" s="669" t="e">
        <f>BZC25</f>
        <v>#N/A</v>
      </c>
      <c r="BZM55" s="669" t="e">
        <f>BZG25</f>
        <v>#N/A</v>
      </c>
      <c r="BZN55" s="669" t="e">
        <f>BZK25</f>
        <v>#N/A</v>
      </c>
      <c r="BZO55" s="669" t="e">
        <f>BZO25</f>
        <v>#N/A</v>
      </c>
      <c r="BZP55" s="669" t="e">
        <f>BZS25</f>
        <v>#N/A</v>
      </c>
      <c r="BZQ55" s="669" t="e">
        <f>BZW25</f>
        <v>#N/A</v>
      </c>
      <c r="BZR55" s="299"/>
      <c r="BZS55" s="299"/>
      <c r="BZT55" s="299"/>
      <c r="BZU55" s="299"/>
      <c r="BZV55" s="299"/>
      <c r="BZW55" s="299"/>
      <c r="BZX55" s="299"/>
      <c r="BZY55" s="299"/>
    </row>
    <row r="56" spans="10:44 2022:2053" ht="18" hidden="1" x14ac:dyDescent="0.35">
      <c r="J56" s="12"/>
      <c r="K56" s="172">
        <v>4</v>
      </c>
      <c r="L56" s="82" t="e">
        <f t="shared" si="13"/>
        <v>#N/A</v>
      </c>
      <c r="M56" s="48"/>
      <c r="N56" s="47" t="str">
        <f t="shared" si="14"/>
        <v>Ontwerp voor meerdere levenscycli</v>
      </c>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183"/>
      <c r="AO56" s="20"/>
      <c r="AP56" s="627"/>
      <c r="AR56" s="37"/>
      <c r="BYT56" s="299"/>
      <c r="BYU56" s="299"/>
      <c r="BYV56" s="299"/>
      <c r="BYW56" s="299"/>
      <c r="BYX56" s="299"/>
      <c r="BYY56" s="299"/>
      <c r="BYZ56" s="299"/>
      <c r="BZA56" s="299"/>
      <c r="BZB56" s="299"/>
      <c r="BZC56" s="299"/>
      <c r="BZD56" s="299"/>
      <c r="BZE56" s="299"/>
      <c r="BZF56" s="299"/>
      <c r="BZG56" s="299"/>
      <c r="BZH56" s="299"/>
      <c r="BZI56" s="668" t="str">
        <f>L27</f>
        <v>Duurzaam gebruik van bestaande objecten, materialen, grondstoffen en natuurlijke processen</v>
      </c>
      <c r="BZJ56" s="669" t="e">
        <f t="shared" si="15"/>
        <v>#N/A</v>
      </c>
      <c r="BZK56" s="669" t="e">
        <f>SUM(BYY26:BYY28)</f>
        <v>#N/A</v>
      </c>
      <c r="BZL56" s="669" t="e">
        <f>SUM(BZC26:BZC28)</f>
        <v>#N/A</v>
      </c>
      <c r="BZM56" s="669" t="e">
        <f>SUM(BZG26:BZG28)</f>
        <v>#N/A</v>
      </c>
      <c r="BZN56" s="669" t="e">
        <f>SUM(BZK26:BZK28)</f>
        <v>#N/A</v>
      </c>
      <c r="BZO56" s="669" t="e">
        <f>SUM(BZO26:BZO28)</f>
        <v>#N/A</v>
      </c>
      <c r="BZP56" s="669" t="e">
        <f>SUM(BZS26:BZS28)</f>
        <v>#N/A</v>
      </c>
      <c r="BZQ56" s="669" t="e">
        <f>SUM(BZW26:BZW28)</f>
        <v>#N/A</v>
      </c>
      <c r="BZR56" s="299"/>
      <c r="BZS56" s="299"/>
      <c r="BZT56" s="299"/>
      <c r="BZU56" s="299"/>
      <c r="BZV56" s="299"/>
      <c r="BZW56" s="299"/>
      <c r="BZX56" s="299"/>
      <c r="BZY56" s="299"/>
    </row>
    <row r="57" spans="10:44 2022:2053" ht="18" hidden="1" x14ac:dyDescent="0.35">
      <c r="K57" s="269">
        <v>5</v>
      </c>
      <c r="L57" s="82" t="e">
        <f t="shared" si="13"/>
        <v>#N/A</v>
      </c>
      <c r="M57" s="48"/>
      <c r="N57" s="47" t="str">
        <f t="shared" si="14"/>
        <v>Ontwerp toekomstbestendig</v>
      </c>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183"/>
      <c r="AO57" s="20"/>
      <c r="AP57" s="627"/>
      <c r="AR57" s="37"/>
      <c r="BYT57" s="299"/>
      <c r="BYU57" s="299"/>
      <c r="BYV57" s="299"/>
      <c r="BYW57" s="299"/>
      <c r="BYX57" s="299"/>
      <c r="BYY57" s="299"/>
      <c r="BYZ57" s="299"/>
      <c r="BZA57" s="299"/>
      <c r="BZB57" s="299"/>
      <c r="BZC57" s="299"/>
      <c r="BZD57" s="299"/>
      <c r="BZE57" s="299"/>
      <c r="BZF57" s="299"/>
      <c r="BZG57" s="299"/>
      <c r="BZH57" s="299"/>
      <c r="BZI57" s="668" t="str">
        <f>L31</f>
        <v>Ontwerp voor meerdere levenscycli</v>
      </c>
      <c r="BZJ57" s="669" t="e">
        <f t="shared" si="15"/>
        <v>#N/A</v>
      </c>
      <c r="BZK57" s="669" t="e">
        <f>BYY29+BYY30</f>
        <v>#N/A</v>
      </c>
      <c r="BZL57" s="669" t="e">
        <f>BZC29+BZC30</f>
        <v>#N/A</v>
      </c>
      <c r="BZM57" s="669" t="e">
        <f>BZG29+BZG30</f>
        <v>#N/A</v>
      </c>
      <c r="BZN57" s="669" t="e">
        <f>BZK29+BZK30</f>
        <v>#N/A</v>
      </c>
      <c r="BZO57" s="669" t="e">
        <f>BZO29+BZO30</f>
        <v>#N/A</v>
      </c>
      <c r="BZP57" s="669" t="e">
        <f>BZS29+BZS30</f>
        <v>#N/A</v>
      </c>
      <c r="BZQ57" s="669" t="e">
        <f>BZW29+BZW30</f>
        <v>#N/A</v>
      </c>
      <c r="BZR57" s="299"/>
      <c r="BZS57" s="299"/>
      <c r="BZT57" s="299"/>
      <c r="BZU57" s="299"/>
      <c r="BZV57" s="299"/>
      <c r="BZW57" s="299"/>
      <c r="BZX57" s="299"/>
      <c r="BZY57" s="299"/>
    </row>
    <row r="58" spans="10:44 2022:2053" ht="18" hidden="1" x14ac:dyDescent="0.35">
      <c r="K58" s="173">
        <v>6</v>
      </c>
      <c r="L58" s="82" t="e">
        <f t="shared" si="13"/>
        <v>#N/A</v>
      </c>
      <c r="M58" s="48"/>
      <c r="N58" s="47" t="str">
        <f t="shared" si="14"/>
        <v xml:space="preserve">Ontwerp voor optimaal beheer en onderhoud </v>
      </c>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183"/>
      <c r="AO58" s="20"/>
      <c r="AP58" s="627"/>
      <c r="AR58" s="37"/>
      <c r="BYT58" s="299"/>
      <c r="BYU58" s="299"/>
      <c r="BYV58" s="299"/>
      <c r="BYW58" s="299"/>
      <c r="BYX58" s="299"/>
      <c r="BYY58" s="299"/>
      <c r="BYZ58" s="299"/>
      <c r="BZA58" s="299"/>
      <c r="BZB58" s="299"/>
      <c r="BZC58" s="299"/>
      <c r="BZD58" s="299"/>
      <c r="BZE58" s="299"/>
      <c r="BZF58" s="299"/>
      <c r="BZG58" s="299"/>
      <c r="BZH58" s="299"/>
      <c r="BZI58" s="668" t="str">
        <f>L34</f>
        <v>Ontwerp toekomstbestendig</v>
      </c>
      <c r="BZJ58" s="669" t="e">
        <f t="shared" si="15"/>
        <v>#N/A</v>
      </c>
      <c r="BZK58" s="669" t="e">
        <f>BYY31</f>
        <v>#N/A</v>
      </c>
      <c r="BZL58" s="669" t="e">
        <f>BZC31</f>
        <v>#N/A</v>
      </c>
      <c r="BZM58" s="669" t="e">
        <f>BZG31</f>
        <v>#N/A</v>
      </c>
      <c r="BZN58" s="669" t="e">
        <f>BZK31</f>
        <v>#N/A</v>
      </c>
      <c r="BZO58" s="669" t="e">
        <f>BZO31</f>
        <v>#N/A</v>
      </c>
      <c r="BZP58" s="669" t="e">
        <f>BZS31</f>
        <v>#N/A</v>
      </c>
      <c r="BZQ58" s="669" t="e">
        <f>BZW31</f>
        <v>#N/A</v>
      </c>
      <c r="BZR58" s="299"/>
      <c r="BZS58" s="299"/>
      <c r="BZT58" s="299"/>
      <c r="BZU58" s="299"/>
      <c r="BZV58" s="299"/>
      <c r="BZW58" s="299"/>
      <c r="BZX58" s="299"/>
      <c r="BZY58" s="299"/>
    </row>
    <row r="59" spans="10:44 2022:2053" ht="18" hidden="1" x14ac:dyDescent="0.35">
      <c r="K59" s="174">
        <v>7</v>
      </c>
      <c r="L59" s="82" t="e">
        <f t="shared" si="13"/>
        <v>#N/A</v>
      </c>
      <c r="M59" s="48"/>
      <c r="N59" s="47" t="str">
        <f t="shared" si="14"/>
        <v>Duurzaam materiaalgebruik (hoeveel x milieubelasting)</v>
      </c>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183"/>
      <c r="AO59" s="20"/>
      <c r="AP59" s="627"/>
      <c r="AR59" s="37"/>
      <c r="BYT59" s="299"/>
      <c r="BYU59" s="299"/>
      <c r="BYV59" s="299"/>
      <c r="BYW59" s="299"/>
      <c r="BYX59" s="299"/>
      <c r="BYY59" s="299"/>
      <c r="BYZ59" s="299"/>
      <c r="BZA59" s="299"/>
      <c r="BZB59" s="299"/>
      <c r="BZC59" s="299"/>
      <c r="BZD59" s="299"/>
      <c r="BZE59" s="299"/>
      <c r="BZF59" s="299"/>
      <c r="BZG59" s="299"/>
      <c r="BZH59" s="299"/>
      <c r="BZI59" s="668" t="str">
        <f>L36</f>
        <v xml:space="preserve">Ontwerp voor optimaal beheer en onderhoud </v>
      </c>
      <c r="BZJ59" s="669" t="e">
        <f t="shared" si="15"/>
        <v>#N/A</v>
      </c>
      <c r="BZK59" s="669" t="e">
        <f>BYY32</f>
        <v>#N/A</v>
      </c>
      <c r="BZL59" s="669" t="e">
        <f>BZC32</f>
        <v>#N/A</v>
      </c>
      <c r="BZM59" s="669" t="e">
        <f>BZG32</f>
        <v>#N/A</v>
      </c>
      <c r="BZN59" s="669" t="e">
        <f>BZK32</f>
        <v>#N/A</v>
      </c>
      <c r="BZO59" s="669" t="e">
        <f>BZO32</f>
        <v>#N/A</v>
      </c>
      <c r="BZP59" s="669" t="e">
        <f>BZS32</f>
        <v>#N/A</v>
      </c>
      <c r="BZQ59" s="669" t="e">
        <f>BZW32</f>
        <v>#N/A</v>
      </c>
      <c r="BZR59" s="299"/>
      <c r="BZS59" s="299"/>
      <c r="BZT59" s="299"/>
      <c r="BZU59" s="299"/>
      <c r="BZV59" s="299"/>
      <c r="BZW59" s="299"/>
      <c r="BZX59" s="299"/>
      <c r="BZY59" s="299"/>
    </row>
    <row r="60" spans="10:44 2022:2053" ht="18" hidden="1" x14ac:dyDescent="0.35">
      <c r="K60" s="268">
        <v>8</v>
      </c>
      <c r="L60" s="82" t="e">
        <f t="shared" si="13"/>
        <v>#N/A</v>
      </c>
      <c r="M60" s="53"/>
      <c r="N60" s="47" t="str">
        <f t="shared" si="14"/>
        <v>Ontwerp voor minimaal grondstof- en energiegebruik in de aanleg/gebruiksfase</v>
      </c>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183"/>
      <c r="AO60" s="20"/>
      <c r="AP60" s="627"/>
      <c r="AR60" s="37"/>
      <c r="BYT60" s="299"/>
      <c r="BYU60" s="299"/>
      <c r="BYV60" s="299"/>
      <c r="BYW60" s="299"/>
      <c r="BYX60" s="299"/>
      <c r="BYY60" s="299"/>
      <c r="BYZ60" s="299"/>
      <c r="BZA60" s="299"/>
      <c r="BZB60" s="299"/>
      <c r="BZC60" s="299"/>
      <c r="BZD60" s="299"/>
      <c r="BZE60" s="299"/>
      <c r="BZF60" s="299"/>
      <c r="BZG60" s="299"/>
      <c r="BZH60" s="299"/>
      <c r="BZI60" s="668" t="str">
        <f>L38</f>
        <v>Duurzaam materiaalgebruik (hoeveel x milieubelasting)</v>
      </c>
      <c r="BZJ60" s="669" t="e">
        <f t="shared" si="15"/>
        <v>#N/A</v>
      </c>
      <c r="BZK60" s="669" t="e">
        <f>SUM(BYY33:BYY34)</f>
        <v>#N/A</v>
      </c>
      <c r="BZL60" s="669" t="e">
        <f>SUM(BZC33:BZC34)</f>
        <v>#N/A</v>
      </c>
      <c r="BZM60" s="669" t="e">
        <f>SUM(BZG33:BZG34)</f>
        <v>#N/A</v>
      </c>
      <c r="BZN60" s="669" t="e">
        <f>SUM(BZK33:BZK34)</f>
        <v>#N/A</v>
      </c>
      <c r="BZO60" s="669" t="e">
        <f>SUM(BZO33:BZO34)</f>
        <v>#N/A</v>
      </c>
      <c r="BZP60" s="669" t="e">
        <f>SUM(BZS33:BZS34)</f>
        <v>#N/A</v>
      </c>
      <c r="BZQ60" s="669" t="e">
        <f>SUM(BZW33:BZW34)</f>
        <v>#N/A</v>
      </c>
      <c r="BZR60" s="299"/>
      <c r="BZS60" s="299"/>
      <c r="BZT60" s="299"/>
      <c r="BZU60" s="299"/>
      <c r="BZV60" s="299"/>
      <c r="BZW60" s="299"/>
      <c r="BZX60" s="299"/>
      <c r="BZY60" s="299"/>
    </row>
    <row r="61" spans="10:44 2022:2053" ht="25.8" hidden="1" x14ac:dyDescent="0.5">
      <c r="K61" s="175" t="s">
        <v>48</v>
      </c>
      <c r="L61" s="83" t="e">
        <f>BZJ63</f>
        <v>#N/A</v>
      </c>
      <c r="M61" s="49" t="e">
        <f>BZJ63</f>
        <v>#N/A</v>
      </c>
      <c r="N61" s="50" t="s">
        <v>119</v>
      </c>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183"/>
      <c r="AO61" s="20"/>
      <c r="AP61" s="627"/>
      <c r="AR61" s="37"/>
      <c r="BYT61" s="299"/>
      <c r="BYU61" s="299"/>
      <c r="BYV61" s="299"/>
      <c r="BYW61" s="299"/>
      <c r="BYX61" s="299"/>
      <c r="BYY61" s="299"/>
      <c r="BYZ61" s="299"/>
      <c r="BZA61" s="299"/>
      <c r="BZB61" s="299"/>
      <c r="BZC61" s="299"/>
      <c r="BZD61" s="299"/>
      <c r="BZE61" s="299"/>
      <c r="BZF61" s="299"/>
      <c r="BZG61" s="299"/>
      <c r="BZH61" s="299"/>
      <c r="BZI61" s="668" t="str">
        <f>L41</f>
        <v>Ontwerp voor minimaal grondstof- en energiegebruik in de aanleg/gebruiksfase</v>
      </c>
      <c r="BZJ61" s="669" t="e">
        <f t="shared" si="15"/>
        <v>#N/A</v>
      </c>
      <c r="BZK61" s="669" t="e">
        <f>BYY35</f>
        <v>#N/A</v>
      </c>
      <c r="BZL61" s="669" t="e">
        <f>BZC35</f>
        <v>#N/A</v>
      </c>
      <c r="BZM61" s="669" t="e">
        <f>BZG35</f>
        <v>#N/A</v>
      </c>
      <c r="BZN61" s="669" t="e">
        <f>BZK35</f>
        <v>#N/A</v>
      </c>
      <c r="BZO61" s="669" t="e">
        <f>BZO35</f>
        <v>#N/A</v>
      </c>
      <c r="BZP61" s="669" t="e">
        <f>BZS35</f>
        <v>#N/A</v>
      </c>
      <c r="BZQ61" s="669" t="e">
        <f>BZW35</f>
        <v>#N/A</v>
      </c>
      <c r="BZR61" s="299"/>
      <c r="BZS61" s="299"/>
      <c r="BZT61" s="299"/>
      <c r="BZU61" s="299"/>
      <c r="BZV61" s="299"/>
      <c r="BZW61" s="299"/>
      <c r="BZX61" s="299"/>
      <c r="BZY61" s="299"/>
    </row>
    <row r="62" spans="10:44 2022:2053" ht="21" hidden="1" x14ac:dyDescent="0.4">
      <c r="K62" s="176"/>
      <c r="L62" s="177" t="e">
        <f>BZJ62</f>
        <v>#N/A</v>
      </c>
      <c r="M62" s="178" t="e">
        <f>BZJ62</f>
        <v>#N/A</v>
      </c>
      <c r="N62" s="188" t="s">
        <v>120</v>
      </c>
      <c r="O62" s="189"/>
      <c r="P62" s="189"/>
      <c r="Q62" s="189"/>
      <c r="R62" s="189"/>
      <c r="S62" s="189"/>
      <c r="T62" s="189"/>
      <c r="U62" s="38"/>
      <c r="V62" s="38"/>
      <c r="W62" s="38"/>
      <c r="X62" s="38"/>
      <c r="Y62" s="38"/>
      <c r="Z62" s="38"/>
      <c r="AA62" s="38"/>
      <c r="AB62" s="38"/>
      <c r="AC62" s="38"/>
      <c r="AD62" s="38"/>
      <c r="AE62" s="38"/>
      <c r="AF62" s="38"/>
      <c r="AG62" s="38"/>
      <c r="AH62" s="38"/>
      <c r="AI62" s="38"/>
      <c r="AJ62" s="38"/>
      <c r="AK62" s="38"/>
      <c r="AL62" s="38"/>
      <c r="AM62" s="38"/>
      <c r="AN62" s="184"/>
      <c r="AO62" s="38"/>
      <c r="AP62" s="628"/>
      <c r="AR62" s="37"/>
      <c r="BYT62" s="299"/>
      <c r="BYU62" s="299"/>
      <c r="BYV62" s="299"/>
      <c r="BYW62" s="299"/>
      <c r="BYX62" s="299"/>
      <c r="BYY62" s="299"/>
      <c r="BYZ62" s="299"/>
      <c r="BZA62" s="299"/>
      <c r="BZB62" s="299"/>
      <c r="BZC62" s="299"/>
      <c r="BZD62" s="299"/>
      <c r="BZE62" s="299"/>
      <c r="BZF62" s="299"/>
      <c r="BZG62" s="299"/>
      <c r="BZH62" s="299"/>
      <c r="BZI62" s="668" t="s">
        <v>121</v>
      </c>
      <c r="BZJ62" s="669" t="e">
        <f t="shared" si="15"/>
        <v>#N/A</v>
      </c>
      <c r="BZK62" s="669" t="e">
        <f>100-BZK63</f>
        <v>#N/A</v>
      </c>
      <c r="BZL62" s="669" t="e">
        <f>100-BZL63</f>
        <v>#N/A</v>
      </c>
      <c r="BZM62" s="669" t="e">
        <f t="shared" ref="BZM62:BZQ62" si="16">100-BZM63</f>
        <v>#N/A</v>
      </c>
      <c r="BZN62" s="669" t="e">
        <f t="shared" si="16"/>
        <v>#N/A</v>
      </c>
      <c r="BZO62" s="669" t="e">
        <f t="shared" si="16"/>
        <v>#N/A</v>
      </c>
      <c r="BZP62" s="669" t="e">
        <f t="shared" si="16"/>
        <v>#N/A</v>
      </c>
      <c r="BZQ62" s="669" t="e">
        <f t="shared" si="16"/>
        <v>#N/A</v>
      </c>
      <c r="BZR62" s="299"/>
      <c r="BZS62" s="299"/>
      <c r="BZT62" s="299"/>
      <c r="BZU62" s="299"/>
      <c r="BZV62" s="299"/>
      <c r="BZW62" s="299"/>
      <c r="BZX62" s="299"/>
      <c r="BZY62" s="299"/>
    </row>
    <row r="63" spans="10:44 2022:2053" ht="33.6" customHeight="1" x14ac:dyDescent="0.3">
      <c r="AR63" s="37"/>
      <c r="BYT63" s="299"/>
      <c r="BYU63" s="299"/>
      <c r="BYV63" s="299"/>
      <c r="BYW63" s="299"/>
      <c r="BYX63" s="299"/>
      <c r="BYY63" s="299"/>
      <c r="BYZ63" s="299"/>
      <c r="BZA63" s="299"/>
      <c r="BZB63" s="299"/>
      <c r="BZC63" s="299"/>
      <c r="BZD63" s="299"/>
      <c r="BZE63" s="299"/>
      <c r="BZF63" s="299"/>
      <c r="BZG63" s="299"/>
      <c r="BZH63" s="299"/>
      <c r="BZI63" s="299" t="s">
        <v>122</v>
      </c>
      <c r="BZJ63" s="670" t="e">
        <f>ROUND(SUM(BZJ54:BZJ61),0)</f>
        <v>#N/A</v>
      </c>
      <c r="BZK63" s="670" t="e">
        <f t="shared" ref="BZK63" si="17">SUM(BZK54:BZK61)</f>
        <v>#N/A</v>
      </c>
      <c r="BZL63" s="670" t="e">
        <f t="shared" ref="BZL63:BZQ63" si="18">SUM(BZL54:BZL61)</f>
        <v>#N/A</v>
      </c>
      <c r="BZM63" s="670" t="e">
        <f t="shared" si="18"/>
        <v>#N/A</v>
      </c>
      <c r="BZN63" s="670" t="e">
        <f t="shared" si="18"/>
        <v>#N/A</v>
      </c>
      <c r="BZO63" s="670" t="e">
        <f t="shared" si="18"/>
        <v>#N/A</v>
      </c>
      <c r="BZP63" s="670" t="e">
        <f t="shared" si="18"/>
        <v>#N/A</v>
      </c>
      <c r="BZQ63" s="670" t="e">
        <f t="shared" si="18"/>
        <v>#N/A</v>
      </c>
      <c r="BZR63" s="299"/>
      <c r="BZS63" s="299"/>
      <c r="BZT63" s="299"/>
      <c r="BZU63" s="299"/>
      <c r="BZV63" s="299"/>
      <c r="BZW63" s="299"/>
      <c r="BZX63" s="299"/>
      <c r="BZY63" s="299"/>
    </row>
    <row r="64" spans="10:44 2022:2053" x14ac:dyDescent="0.3">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183"/>
      <c r="AO64" s="20"/>
      <c r="AP64" s="126"/>
      <c r="AR64" s="37"/>
      <c r="BYT64" s="299"/>
      <c r="BYU64" s="299"/>
      <c r="BYV64" s="299"/>
      <c r="BYW64" s="299"/>
      <c r="BYX64" s="299"/>
      <c r="BYY64" s="299"/>
      <c r="BYZ64" s="299"/>
      <c r="BZA64" s="299"/>
      <c r="BZB64" s="299"/>
      <c r="BZC64" s="299"/>
      <c r="BZD64" s="299"/>
      <c r="BZE64" s="299"/>
      <c r="BZF64" s="299"/>
      <c r="BZG64" s="299"/>
      <c r="BZH64" s="299"/>
      <c r="BZI64" s="299"/>
      <c r="BZJ64" s="299"/>
      <c r="BZK64" s="299">
        <f t="shared" ref="BZK64:BZQ64" si="19">IF($K$47/BZK52=1,1,0)</f>
        <v>0</v>
      </c>
      <c r="BZL64" s="299">
        <f t="shared" si="19"/>
        <v>1</v>
      </c>
      <c r="BZM64" s="299">
        <f t="shared" si="19"/>
        <v>0</v>
      </c>
      <c r="BZN64" s="299">
        <f t="shared" si="19"/>
        <v>0</v>
      </c>
      <c r="BZO64" s="299">
        <f t="shared" si="19"/>
        <v>0</v>
      </c>
      <c r="BZP64" s="299">
        <f t="shared" si="19"/>
        <v>0</v>
      </c>
      <c r="BZQ64" s="299">
        <f t="shared" si="19"/>
        <v>0</v>
      </c>
      <c r="BZR64" s="299"/>
      <c r="BZS64" s="299"/>
      <c r="BZT64" s="299"/>
      <c r="BZU64" s="299"/>
      <c r="BZV64" s="299"/>
      <c r="BZW64" s="299"/>
      <c r="BZX64" s="299"/>
      <c r="BZY64" s="299"/>
    </row>
    <row r="65" spans="11:44 2022:2053" ht="18" x14ac:dyDescent="0.35">
      <c r="K65" s="593"/>
      <c r="L65" s="594" t="str">
        <f>"Referentiemonitor Circulaire Peiler - Overzicht MKI / MCI (CB'23) / CO2 quotiënten van de "&amp;N8</f>
        <v>Referentiemonitor Circulaire Peiler - Overzicht MKI / MCI (CB'23) / CO2 quotiënten van de verkenningsfase</v>
      </c>
      <c r="M65" s="595"/>
      <c r="N65" s="595"/>
      <c r="O65" s="595"/>
      <c r="P65" s="595"/>
      <c r="Q65" s="595"/>
      <c r="R65" s="595"/>
      <c r="S65" s="595"/>
      <c r="T65" s="595"/>
      <c r="U65" s="595"/>
      <c r="V65" s="595"/>
      <c r="W65" s="595"/>
      <c r="X65" s="595"/>
      <c r="Y65" s="595"/>
      <c r="Z65" s="595"/>
      <c r="AA65" s="595"/>
      <c r="AB65" s="595"/>
      <c r="AC65" s="595"/>
      <c r="AD65" s="595"/>
      <c r="AE65" s="595"/>
      <c r="AF65" s="595"/>
      <c r="AG65" s="595"/>
      <c r="AH65" s="595"/>
      <c r="AI65" s="595"/>
      <c r="AJ65" s="595"/>
      <c r="AK65" s="595"/>
      <c r="AL65" s="604" t="s">
        <v>319</v>
      </c>
      <c r="AM65" s="595"/>
      <c r="AN65" s="596"/>
      <c r="AO65" s="595"/>
      <c r="AP65" s="630"/>
      <c r="AR65" s="37"/>
      <c r="BYT65" s="299"/>
      <c r="BYU65" s="299"/>
      <c r="BYV65" s="299"/>
      <c r="BYW65" s="299"/>
      <c r="BYX65" s="299"/>
      <c r="BYY65" s="299"/>
      <c r="BYZ65" s="299"/>
      <c r="BZA65" s="299"/>
      <c r="BZB65" s="299"/>
      <c r="BZC65" s="299"/>
      <c r="BZD65" s="299"/>
      <c r="BZE65" s="299"/>
      <c r="BZF65" s="299"/>
      <c r="BZG65" s="299"/>
      <c r="BZH65" s="299"/>
      <c r="BZI65" s="299"/>
      <c r="BZJ65" s="299"/>
      <c r="BZK65" s="299"/>
      <c r="BZL65" s="299"/>
      <c r="BZM65" s="299"/>
      <c r="BZN65" s="299"/>
      <c r="BZO65" s="299"/>
      <c r="BZP65" s="299"/>
      <c r="BZQ65" s="299"/>
      <c r="BZR65" s="299"/>
      <c r="BZS65" s="299"/>
      <c r="BZT65" s="299"/>
      <c r="BZU65" s="299"/>
      <c r="BZV65" s="299"/>
      <c r="BZW65" s="299"/>
      <c r="BZX65" s="299"/>
      <c r="BZY65" s="299"/>
    </row>
    <row r="66" spans="11:44 2022:2053" ht="18" x14ac:dyDescent="0.35">
      <c r="K66" s="608" t="s">
        <v>123</v>
      </c>
      <c r="L66" s="474"/>
      <c r="M66" s="474"/>
      <c r="N66" s="474"/>
      <c r="O66" s="20"/>
      <c r="P66" s="20"/>
      <c r="Q66" s="20"/>
      <c r="R66" s="20"/>
      <c r="S66" s="20"/>
      <c r="T66" s="20"/>
      <c r="U66" s="20"/>
      <c r="V66" s="20"/>
      <c r="W66" s="20"/>
      <c r="X66" s="20"/>
      <c r="Y66" s="20"/>
      <c r="Z66" s="20"/>
      <c r="AA66" s="20"/>
      <c r="AB66" s="20"/>
      <c r="AC66" s="20"/>
      <c r="AD66" s="20"/>
      <c r="AE66" s="20"/>
      <c r="AF66" s="20"/>
      <c r="AG66" s="20"/>
      <c r="AH66" s="20"/>
      <c r="AI66" s="20"/>
      <c r="AJ66" s="20"/>
      <c r="AK66" s="20"/>
      <c r="AL66" s="609" t="str">
        <f>"MKI referentie = €"&amp;" "&amp;N68&amp;""</f>
        <v xml:space="preserve">MKI referentie = € </v>
      </c>
      <c r="AM66" s="612"/>
      <c r="AN66" s="613"/>
      <c r="AO66" s="612"/>
      <c r="AP66" s="631"/>
      <c r="AR66" s="37"/>
      <c r="BYT66" s="299"/>
      <c r="BYU66" s="299"/>
      <c r="BYV66" s="299"/>
      <c r="BYW66" s="299"/>
      <c r="BYX66" s="299"/>
      <c r="BYY66" s="299"/>
      <c r="BYZ66" s="299"/>
      <c r="BZA66" s="299"/>
      <c r="BZB66" s="299"/>
      <c r="BZC66" s="299"/>
      <c r="BZD66" s="299"/>
      <c r="BZE66" s="299"/>
      <c r="BZF66" s="299"/>
      <c r="BZG66" s="299"/>
      <c r="BZH66" s="299"/>
      <c r="BZI66" s="299"/>
      <c r="BZJ66" s="299"/>
      <c r="BZK66" s="299"/>
      <c r="BZL66" s="299"/>
      <c r="BZM66" s="299"/>
      <c r="BZN66" s="299"/>
      <c r="BZO66" s="299"/>
      <c r="BZP66" s="299"/>
      <c r="BZQ66" s="299"/>
      <c r="BZR66" s="299"/>
      <c r="BZS66" s="299"/>
      <c r="BZT66" s="299"/>
      <c r="BZU66" s="299"/>
      <c r="BZV66" s="299"/>
      <c r="BZW66" s="299"/>
      <c r="BZX66" s="299"/>
      <c r="BZY66" s="299"/>
    </row>
    <row r="67" spans="11:44 2022:2053" ht="18" x14ac:dyDescent="0.35">
      <c r="K67" s="597" t="s">
        <v>124</v>
      </c>
      <c r="L67" s="236"/>
      <c r="M67" s="551" t="str">
        <f>IF(N67="","         voer hier de MKI van het project in","")</f>
        <v xml:space="preserve">         voer hier de MKI van het project in</v>
      </c>
      <c r="N67" s="586"/>
      <c r="O67" s="20"/>
      <c r="P67" s="20"/>
      <c r="Q67" s="20"/>
      <c r="R67" s="20"/>
      <c r="S67" s="20"/>
      <c r="T67" s="20"/>
      <c r="U67" s="20"/>
      <c r="V67" s="20"/>
      <c r="W67" s="20"/>
      <c r="X67" s="20"/>
      <c r="Y67" s="20"/>
      <c r="Z67" s="20"/>
      <c r="AA67" s="20"/>
      <c r="AB67" s="20"/>
      <c r="AC67" s="20"/>
      <c r="AD67" s="20"/>
      <c r="AE67" s="20"/>
      <c r="AF67" s="20"/>
      <c r="AG67" s="20"/>
      <c r="AH67" s="20"/>
      <c r="AI67" s="20"/>
      <c r="AJ67" s="20"/>
      <c r="AK67" s="20"/>
      <c r="AL67" s="605" t="str">
        <f>"MKI reductie"</f>
        <v>MKI reductie</v>
      </c>
      <c r="AM67" s="20"/>
      <c r="AN67" s="259" t="str">
        <f>"MKI reductie t.o.v. referentie € "&amp;N68</f>
        <v xml:space="preserve">MKI reductie t.o.v. referentie € </v>
      </c>
      <c r="AO67" s="639" t="e">
        <f>1-AP67</f>
        <v>#VALUE!</v>
      </c>
      <c r="AP67" s="632" t="str">
        <f>IF(N68=0,"?",(1-N67/(N68+0.0000001)))</f>
        <v>?</v>
      </c>
      <c r="AR67" s="780"/>
      <c r="BYT67" s="299"/>
      <c r="BYU67" s="299"/>
      <c r="BYV67" s="299"/>
      <c r="BYW67" s="299"/>
      <c r="BYX67" s="299"/>
      <c r="BYY67" s="299"/>
      <c r="BYZ67" s="299"/>
      <c r="BZA67" s="299"/>
      <c r="BZB67" s="299"/>
      <c r="BZC67" s="299"/>
      <c r="BZD67" s="299"/>
      <c r="BZE67" s="299"/>
      <c r="BZF67" s="299"/>
      <c r="BZG67" s="299"/>
      <c r="BZH67" s="299"/>
      <c r="BZI67" s="299"/>
      <c r="BZJ67" s="299"/>
      <c r="BZK67" s="299"/>
      <c r="BZL67" s="299"/>
      <c r="BZM67" s="299"/>
      <c r="BZN67" s="299"/>
      <c r="BZO67" s="299"/>
      <c r="BZP67" s="299"/>
      <c r="BZQ67" s="299"/>
      <c r="BZR67" s="299"/>
      <c r="BZS67" s="299"/>
      <c r="BZT67" s="299"/>
      <c r="BZU67" s="299"/>
      <c r="BZV67" s="299"/>
      <c r="BZW67" s="299"/>
      <c r="BZX67" s="299"/>
      <c r="BZY67" s="299"/>
    </row>
    <row r="68" spans="11:44 2022:2053" ht="18" x14ac:dyDescent="0.35">
      <c r="K68" s="597" t="s">
        <v>125</v>
      </c>
      <c r="L68" s="236"/>
      <c r="M68" s="551" t="str">
        <f>IF(N68="","         voer hier de MKI van het referentieobject/project in","")</f>
        <v xml:space="preserve">         voer hier de MKI van het referentieobject/project in</v>
      </c>
      <c r="N68" s="586"/>
      <c r="O68" s="20"/>
      <c r="P68" s="20"/>
      <c r="Q68" s="20"/>
      <c r="R68" s="20"/>
      <c r="S68" s="20"/>
      <c r="T68" s="20"/>
      <c r="U68" s="20"/>
      <c r="V68" s="20"/>
      <c r="W68" s="20"/>
      <c r="X68" s="20"/>
      <c r="Y68" s="20"/>
      <c r="Z68" s="20"/>
      <c r="AA68" s="20"/>
      <c r="AB68" s="20"/>
      <c r="AC68" s="20"/>
      <c r="AD68" s="20"/>
      <c r="AE68" s="20"/>
      <c r="AF68" s="20"/>
      <c r="AG68" s="20"/>
      <c r="AH68" s="20"/>
      <c r="AI68" s="20"/>
      <c r="AJ68" s="20"/>
      <c r="AK68" s="20"/>
      <c r="AL68" s="236" t="s">
        <v>126</v>
      </c>
      <c r="AM68" s="20"/>
      <c r="AN68" s="183"/>
      <c r="AO68" s="20"/>
      <c r="AP68" s="633" t="str">
        <f>IF(AP67="?","?",N67/(N68+0.000001))</f>
        <v>?</v>
      </c>
      <c r="AR68" s="780"/>
    </row>
    <row r="69" spans="11:44 2022:2053" ht="18" x14ac:dyDescent="0.35">
      <c r="K69" s="598"/>
      <c r="L69" s="295"/>
      <c r="M69" s="295"/>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183"/>
      <c r="AO69" s="20"/>
      <c r="AP69" s="634" t="e">
        <f>1-AP67</f>
        <v>#VALUE!</v>
      </c>
      <c r="AR69" s="37"/>
    </row>
    <row r="70" spans="11:44 2022:2053" ht="18" x14ac:dyDescent="0.35">
      <c r="K70" s="607" t="s">
        <v>347</v>
      </c>
      <c r="L70" s="475"/>
      <c r="M70" s="475"/>
      <c r="N70" s="475"/>
      <c r="O70" s="20"/>
      <c r="P70" s="20"/>
      <c r="Q70" s="20"/>
      <c r="R70" s="20"/>
      <c r="S70" s="20"/>
      <c r="T70" s="20"/>
      <c r="U70" s="20"/>
      <c r="V70" s="20"/>
      <c r="W70" s="20"/>
      <c r="X70" s="20"/>
      <c r="Y70" s="20"/>
      <c r="Z70" s="20"/>
      <c r="AA70" s="20"/>
      <c r="AB70" s="20"/>
      <c r="AC70" s="20"/>
      <c r="AD70" s="20"/>
      <c r="AE70" s="20"/>
      <c r="AF70" s="20"/>
      <c r="AG70" s="20"/>
      <c r="AH70" s="20"/>
      <c r="AI70" s="20"/>
      <c r="AJ70" s="20"/>
      <c r="AK70" s="20"/>
      <c r="AL70" s="610" t="str">
        <f>"MCI referentie ="&amp;" "&amp;N72&amp;"[-]"</f>
        <v>MCI referentie = [-]</v>
      </c>
      <c r="AM70" s="614"/>
      <c r="AN70" s="615"/>
      <c r="AO70" s="614"/>
      <c r="AP70" s="635"/>
      <c r="AR70" s="37"/>
    </row>
    <row r="71" spans="11:44 2022:2053" ht="18" x14ac:dyDescent="0.35">
      <c r="K71" s="597" t="s">
        <v>345</v>
      </c>
      <c r="L71" s="236"/>
      <c r="M71" s="551" t="str">
        <f>IF(N71="","         voer hier de circulariteitsindex (CI) van het project in volgens bijlage G kernmeetmethode CB'23","")</f>
        <v xml:space="preserve">         voer hier de circulariteitsindex (CI) van het project in volgens bijlage G kernmeetmethode CB'23</v>
      </c>
      <c r="N71" s="652"/>
      <c r="O71" s="20"/>
      <c r="P71" s="20"/>
      <c r="Q71" s="20"/>
      <c r="R71" s="20"/>
      <c r="S71" s="20"/>
      <c r="T71" s="20"/>
      <c r="U71" s="20"/>
      <c r="V71" s="20"/>
      <c r="W71" s="20"/>
      <c r="X71" s="20"/>
      <c r="Y71" s="20"/>
      <c r="Z71" s="20"/>
      <c r="AA71" s="20"/>
      <c r="AB71" s="20"/>
      <c r="AC71" s="20"/>
      <c r="AD71" s="20"/>
      <c r="AE71" s="20"/>
      <c r="AF71" s="20"/>
      <c r="AG71" s="20"/>
      <c r="AH71" s="20"/>
      <c r="AI71" s="20"/>
      <c r="AJ71" s="20"/>
      <c r="AK71" s="20"/>
      <c r="AL71" s="605" t="str">
        <f>"MCI reductie"</f>
        <v>MCI reductie</v>
      </c>
      <c r="AM71" s="20"/>
      <c r="AN71" s="259" t="str">
        <f>"MCI reductie t.o.v. referentie "&amp;N72&amp;" [-]"</f>
        <v>MCI reductie t.o.v. referentie  [-]</v>
      </c>
      <c r="AO71" s="639" t="e">
        <f>1-AP71</f>
        <v>#VALUE!</v>
      </c>
      <c r="AP71" s="632" t="str">
        <f>IF(N72=0,"?",N71-N72)</f>
        <v>?</v>
      </c>
      <c r="AR71" s="780"/>
    </row>
    <row r="72" spans="11:44 2022:2053" ht="18" x14ac:dyDescent="0.35">
      <c r="K72" s="597" t="s">
        <v>346</v>
      </c>
      <c r="L72" s="236"/>
      <c r="M72" s="551" t="str">
        <f>IF(N72="","         voer hier de circulariteitsindex (MCI) van het referentieobject/project in volgens bijlage G kernmeetmethode CB'23","")</f>
        <v xml:space="preserve">         voer hier de circulariteitsindex (MCI) van het referentieobject/project in volgens bijlage G kernmeetmethode CB'23</v>
      </c>
      <c r="N72" s="653"/>
      <c r="O72" s="20"/>
      <c r="P72" s="20"/>
      <c r="Q72" s="20"/>
      <c r="R72" s="20"/>
      <c r="S72" s="20"/>
      <c r="T72" s="20"/>
      <c r="U72" s="20"/>
      <c r="V72" s="20"/>
      <c r="W72" s="20"/>
      <c r="X72" s="20"/>
      <c r="Y72" s="20"/>
      <c r="Z72" s="20"/>
      <c r="AA72" s="20"/>
      <c r="AB72" s="20"/>
      <c r="AC72" s="20"/>
      <c r="AD72" s="20"/>
      <c r="AE72" s="20"/>
      <c r="AF72" s="20"/>
      <c r="AG72" s="20"/>
      <c r="AH72" s="20"/>
      <c r="AI72" s="20"/>
      <c r="AJ72" s="20"/>
      <c r="AK72" s="20"/>
      <c r="AL72" s="236" t="s">
        <v>348</v>
      </c>
      <c r="AM72" s="20"/>
      <c r="AN72" s="183"/>
      <c r="AO72" s="20"/>
      <c r="AP72" s="633" t="str">
        <f>IF(AP71="?","?",1-AP71)</f>
        <v>?</v>
      </c>
      <c r="AR72" s="780"/>
    </row>
    <row r="73" spans="11:44 2022:2053" x14ac:dyDescent="0.3">
      <c r="K73" s="598"/>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183"/>
      <c r="AO73" s="20"/>
      <c r="AP73" s="634" t="e">
        <f>1-AP71</f>
        <v>#VALUE!</v>
      </c>
      <c r="AR73" s="37"/>
    </row>
    <row r="74" spans="11:44 2022:2053" ht="20.399999999999999" x14ac:dyDescent="0.45">
      <c r="K74" s="606" t="s">
        <v>320</v>
      </c>
      <c r="L74" s="476"/>
      <c r="M74" s="476"/>
      <c r="N74" s="476"/>
      <c r="O74" s="20"/>
      <c r="P74" s="20"/>
      <c r="Q74" s="20"/>
      <c r="R74" s="20"/>
      <c r="S74" s="20"/>
      <c r="T74" s="20"/>
      <c r="U74" s="20"/>
      <c r="V74" s="20"/>
      <c r="W74" s="20"/>
      <c r="X74" s="20"/>
      <c r="Y74" s="20"/>
      <c r="Z74" s="20"/>
      <c r="AA74" s="20"/>
      <c r="AB74" s="20"/>
      <c r="AC74" s="20"/>
      <c r="AD74" s="20"/>
      <c r="AE74" s="20"/>
      <c r="AF74" s="20"/>
      <c r="AG74" s="20"/>
      <c r="AH74" s="20"/>
      <c r="AI74" s="20"/>
      <c r="AJ74" s="20"/>
      <c r="AK74" s="20"/>
      <c r="AL74" s="611" t="str">
        <f>"CO2 referentie ="&amp;" "&amp;N76&amp;" ton CO2"</f>
        <v>CO2 referentie =  ton CO2</v>
      </c>
      <c r="AM74" s="139"/>
      <c r="AN74" s="616"/>
      <c r="AO74" s="139"/>
      <c r="AP74" s="636"/>
      <c r="AR74" s="37"/>
    </row>
    <row r="75" spans="11:44 2022:2053" ht="20.399999999999999" x14ac:dyDescent="0.45">
      <c r="K75" s="597" t="s">
        <v>310</v>
      </c>
      <c r="L75" s="236"/>
      <c r="M75" s="551" t="str">
        <f>IF(N75="","         voer hier de CO2 uitstoot van het project in","")</f>
        <v xml:space="preserve">         voer hier de CO2 uitstoot van het project in</v>
      </c>
      <c r="N75" s="586"/>
      <c r="O75" s="20"/>
      <c r="P75" s="20"/>
      <c r="Q75" s="20"/>
      <c r="R75" s="20"/>
      <c r="S75" s="20"/>
      <c r="T75" s="20"/>
      <c r="U75" s="20"/>
      <c r="V75" s="20"/>
      <c r="W75" s="20"/>
      <c r="X75" s="20"/>
      <c r="Y75" s="20"/>
      <c r="Z75" s="20"/>
      <c r="AA75" s="20"/>
      <c r="AB75" s="20"/>
      <c r="AC75" s="20"/>
      <c r="AD75" s="20"/>
      <c r="AE75" s="20"/>
      <c r="AF75" s="20"/>
      <c r="AG75" s="20"/>
      <c r="AH75" s="20"/>
      <c r="AI75" s="20"/>
      <c r="AJ75" s="20"/>
      <c r="AK75" s="20"/>
      <c r="AL75" s="592" t="str">
        <f>"CO2 reductie"</f>
        <v>CO2 reductie</v>
      </c>
      <c r="AM75" s="20"/>
      <c r="AN75" s="259" t="str">
        <f>"CO2 reductie t.o.v. referentie "&amp;N76&amp;" tonCO2"</f>
        <v>CO2 reductie t.o.v. referentie  tonCO2</v>
      </c>
      <c r="AO75" s="639" t="e">
        <f>1-AP75</f>
        <v>#VALUE!</v>
      </c>
      <c r="AP75" s="637" t="str">
        <f>IF(N76=0,"?",1-N75/(N76+0.0000001))</f>
        <v>?</v>
      </c>
      <c r="AR75" s="780"/>
    </row>
    <row r="76" spans="11:44 2022:2053" ht="17.399999999999999" customHeight="1" x14ac:dyDescent="0.45">
      <c r="K76" s="597" t="s">
        <v>311</v>
      </c>
      <c r="L76" s="236"/>
      <c r="M76" s="551" t="str">
        <f>IF(N76="","         voer hier de CO2 uitstoot van het referentieobject/project in","")</f>
        <v xml:space="preserve">         voer hier de CO2 uitstoot van het referentieobject/project in</v>
      </c>
      <c r="N76" s="587"/>
      <c r="O76" s="20"/>
      <c r="P76" s="20"/>
      <c r="Q76" s="20"/>
      <c r="R76" s="20"/>
      <c r="S76" s="20"/>
      <c r="T76" s="20"/>
      <c r="U76" s="20"/>
      <c r="V76" s="20"/>
      <c r="W76" s="20"/>
      <c r="X76" s="20"/>
      <c r="Y76" s="20"/>
      <c r="Z76" s="20"/>
      <c r="AA76" s="20"/>
      <c r="AB76" s="20"/>
      <c r="AC76" s="20"/>
      <c r="AD76" s="20"/>
      <c r="AE76" s="20"/>
      <c r="AF76" s="20"/>
      <c r="AG76" s="20"/>
      <c r="AH76" s="20"/>
      <c r="AI76" s="20"/>
      <c r="AJ76" s="20"/>
      <c r="AK76" s="20"/>
      <c r="AL76" s="236" t="s">
        <v>312</v>
      </c>
      <c r="AM76" s="20"/>
      <c r="AN76" s="183"/>
      <c r="AO76" s="20"/>
      <c r="AP76" s="633" t="str">
        <f>IF(AP75="?","?",N75/(N76+0.000001))</f>
        <v>?</v>
      </c>
      <c r="AR76" s="780"/>
    </row>
    <row r="77" spans="11:44 2022:2053" ht="14.4" customHeight="1" x14ac:dyDescent="0.35">
      <c r="K77" s="599"/>
      <c r="L77" s="600"/>
      <c r="M77" s="600"/>
      <c r="N77" s="601"/>
      <c r="O77" s="602"/>
      <c r="P77" s="602"/>
      <c r="Q77" s="602"/>
      <c r="R77" s="602"/>
      <c r="S77" s="602"/>
      <c r="T77" s="602"/>
      <c r="U77" s="602"/>
      <c r="V77" s="602"/>
      <c r="W77" s="602"/>
      <c r="X77" s="602"/>
      <c r="Y77" s="602"/>
      <c r="Z77" s="602"/>
      <c r="AA77" s="602"/>
      <c r="AB77" s="602"/>
      <c r="AC77" s="602"/>
      <c r="AD77" s="602"/>
      <c r="AE77" s="602"/>
      <c r="AF77" s="602"/>
      <c r="AG77" s="602"/>
      <c r="AH77" s="602"/>
      <c r="AI77" s="602"/>
      <c r="AJ77" s="602"/>
      <c r="AK77" s="602"/>
      <c r="AL77" s="602"/>
      <c r="AM77" s="602"/>
      <c r="AN77" s="603"/>
      <c r="AO77" s="602"/>
      <c r="AP77" s="638" t="e">
        <f>1-AP75</f>
        <v>#VALUE!</v>
      </c>
      <c r="AR77" s="37"/>
    </row>
    <row r="78" spans="11:44 2022:2053" ht="14.4" customHeight="1" x14ac:dyDescent="0.3">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183"/>
      <c r="AO78" s="20"/>
      <c r="AP78" s="126"/>
    </row>
    <row r="81" spans="12:43" ht="18" x14ac:dyDescent="0.35">
      <c r="L81" s="296"/>
      <c r="M81" s="296"/>
      <c r="O81" s="20"/>
      <c r="P81" s="20"/>
      <c r="Q81" s="20"/>
      <c r="R81" s="20"/>
      <c r="S81" s="20"/>
      <c r="T81" s="20"/>
      <c r="U81" s="20"/>
      <c r="V81" s="20"/>
      <c r="W81" s="20"/>
      <c r="X81" s="20"/>
      <c r="Y81" s="20"/>
      <c r="Z81" s="20"/>
      <c r="AA81" s="20"/>
      <c r="AB81" s="20"/>
      <c r="AC81" s="20"/>
      <c r="AD81" s="20"/>
      <c r="AE81" s="20"/>
      <c r="AF81" s="20"/>
      <c r="AG81" s="20"/>
      <c r="AH81" s="20"/>
      <c r="AI81" s="20"/>
      <c r="AJ81" s="20"/>
      <c r="AK81" s="20"/>
      <c r="AM81" s="20"/>
      <c r="AN81" s="183"/>
      <c r="AO81" s="20"/>
      <c r="AP81" s="126"/>
      <c r="AQ81" s="183"/>
    </row>
    <row r="82" spans="12:43" x14ac:dyDescent="0.3">
      <c r="L82" s="20"/>
      <c r="M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183"/>
      <c r="AO82" s="20"/>
      <c r="AP82" s="126"/>
      <c r="AQ82" s="183"/>
    </row>
    <row r="88" spans="12:43" ht="21" x14ac:dyDescent="0.4">
      <c r="L88" s="40"/>
    </row>
  </sheetData>
  <sheetProtection algorithmName="SHA-512" hashValue="ZIyCEpRwXSVnJOFmhrAngYj0Kh6ZQSk8efSJsLFDfDLPJriN4bTzXhPvcPfsiqXFbhy7AvUj5/58uQd+1e7chg==" saltValue="MP/pM/Z+KOdnZ8AQ4us4dA==" spinCount="100000" sheet="1" objects="1" scenarios="1"/>
  <conditionalFormatting sqref="AE24:AJ24 AE26:AK26">
    <cfRule type="dataBar" priority="42">
      <dataBar>
        <cfvo type="min"/>
        <cfvo type="max"/>
        <color rgb="FF638EC6"/>
      </dataBar>
      <extLst>
        <ext xmlns:x14="http://schemas.microsoft.com/office/spreadsheetml/2009/9/main" uri="{B025F937-C7B1-47D3-B67F-A62EFF666E3E}">
          <x14:id>{E1DCAD96-E725-4CC2-B71C-79731EA4EFB2}</x14:id>
        </ext>
      </extLst>
    </cfRule>
  </conditionalFormatting>
  <conditionalFormatting sqref="AE22:AI22 AE28:AK30 AE32:AK33 AE35:AK35 AE37:AK37 AE39:AK40 AE42:AK42">
    <cfRule type="dataBar" priority="41">
      <dataBar>
        <cfvo type="min"/>
        <cfvo type="max"/>
        <color rgb="FF638EC6"/>
      </dataBar>
      <extLst>
        <ext xmlns:x14="http://schemas.microsoft.com/office/spreadsheetml/2009/9/main" uri="{B025F937-C7B1-47D3-B67F-A62EFF666E3E}">
          <x14:id>{B1C62390-91A8-4A33-B10C-63A6E6E9E9E0}</x14:id>
        </ext>
      </extLst>
    </cfRule>
  </conditionalFormatting>
  <conditionalFormatting sqref="AE24:AJ24 AE26:AK26 AE28:AK28 AE22:AK22">
    <cfRule type="dataBar" priority="40">
      <dataBar>
        <cfvo type="min"/>
        <cfvo type="max"/>
        <color rgb="FF638EC6"/>
      </dataBar>
      <extLst>
        <ext xmlns:x14="http://schemas.microsoft.com/office/spreadsheetml/2009/9/main" uri="{B025F937-C7B1-47D3-B67F-A62EFF666E3E}">
          <x14:id>{AF1BB52A-B186-48C8-89E3-0FAF376D75B8}</x14:id>
        </ext>
      </extLst>
    </cfRule>
  </conditionalFormatting>
  <conditionalFormatting sqref="AE26:AE42">
    <cfRule type="dataBar" priority="39">
      <dataBar>
        <cfvo type="min"/>
        <cfvo type="max"/>
        <color rgb="FF638EC6"/>
      </dataBar>
      <extLst>
        <ext xmlns:x14="http://schemas.microsoft.com/office/spreadsheetml/2009/9/main" uri="{B025F937-C7B1-47D3-B67F-A62EFF666E3E}">
          <x14:id>{9139779C-FFFF-476B-B20E-859FF9FE5FC2}</x14:id>
        </ext>
      </extLst>
    </cfRule>
  </conditionalFormatting>
  <conditionalFormatting sqref="AE24">
    <cfRule type="dataBar" priority="38">
      <dataBar>
        <cfvo type="min"/>
        <cfvo type="max"/>
        <color rgb="FF638EC6"/>
      </dataBar>
      <extLst>
        <ext xmlns:x14="http://schemas.microsoft.com/office/spreadsheetml/2009/9/main" uri="{B025F937-C7B1-47D3-B67F-A62EFF666E3E}">
          <x14:id>{237C3206-5986-4109-AA18-C6A37C677972}</x14:id>
        </ext>
      </extLst>
    </cfRule>
  </conditionalFormatting>
  <conditionalFormatting sqref="AE24">
    <cfRule type="dataBar" priority="37">
      <dataBar>
        <cfvo type="min"/>
        <cfvo type="max"/>
        <color rgb="FF638EC6"/>
      </dataBar>
      <extLst>
        <ext xmlns:x14="http://schemas.microsoft.com/office/spreadsheetml/2009/9/main" uri="{B025F937-C7B1-47D3-B67F-A62EFF666E3E}">
          <x14:id>{875F498B-3A94-45C8-A355-CCE5E5FACAD3}</x14:id>
        </ext>
      </extLst>
    </cfRule>
  </conditionalFormatting>
  <conditionalFormatting sqref="AE22:AE42">
    <cfRule type="dataBar" priority="36">
      <dataBar>
        <cfvo type="min"/>
        <cfvo type="max"/>
        <color rgb="FF638EC6"/>
      </dataBar>
      <extLst>
        <ext xmlns:x14="http://schemas.microsoft.com/office/spreadsheetml/2009/9/main" uri="{B025F937-C7B1-47D3-B67F-A62EFF666E3E}">
          <x14:id>{97F1AB34-B56A-4D31-BF04-8C2BDB7CC336}</x14:id>
        </ext>
      </extLst>
    </cfRule>
  </conditionalFormatting>
  <conditionalFormatting sqref="AE21:AE42">
    <cfRule type="dataBar" priority="34">
      <dataBar>
        <cfvo type="min"/>
        <cfvo type="max"/>
        <color theme="0" tint="-0.34998626667073579"/>
      </dataBar>
      <extLst>
        <ext xmlns:x14="http://schemas.microsoft.com/office/spreadsheetml/2009/9/main" uri="{B025F937-C7B1-47D3-B67F-A62EFF666E3E}">
          <x14:id>{DCDF9EEE-7F68-4408-AA2A-F9831653B3C4}</x14:id>
        </ext>
      </extLst>
    </cfRule>
    <cfRule type="dataBar" priority="35">
      <dataBar>
        <cfvo type="min"/>
        <cfvo type="max"/>
        <color rgb="FF638EC6"/>
      </dataBar>
      <extLst>
        <ext xmlns:x14="http://schemas.microsoft.com/office/spreadsheetml/2009/9/main" uri="{B025F937-C7B1-47D3-B67F-A62EFF666E3E}">
          <x14:id>{5DBCAEC1-D80E-43B1-95FA-0D09EBB75EC1}</x14:id>
        </ext>
      </extLst>
    </cfRule>
  </conditionalFormatting>
  <conditionalFormatting sqref="AK24">
    <cfRule type="dataBar" priority="33">
      <dataBar>
        <cfvo type="min"/>
        <cfvo type="max"/>
        <color rgb="FF638EC6"/>
      </dataBar>
      <extLst>
        <ext xmlns:x14="http://schemas.microsoft.com/office/spreadsheetml/2009/9/main" uri="{B025F937-C7B1-47D3-B67F-A62EFF666E3E}">
          <x14:id>{47BBC51A-48F0-4AB6-BE64-D675F112AF18}</x14:id>
        </ext>
      </extLst>
    </cfRule>
  </conditionalFormatting>
  <conditionalFormatting sqref="AK24">
    <cfRule type="dataBar" priority="32">
      <dataBar>
        <cfvo type="min"/>
        <cfvo type="max"/>
        <color rgb="FF638EC6"/>
      </dataBar>
      <extLst>
        <ext xmlns:x14="http://schemas.microsoft.com/office/spreadsheetml/2009/9/main" uri="{B025F937-C7B1-47D3-B67F-A62EFF666E3E}">
          <x14:id>{E04ECA94-4206-48E1-85D2-EF6B323D0641}</x14:id>
        </ext>
      </extLst>
    </cfRule>
  </conditionalFormatting>
  <conditionalFormatting sqref="AK24">
    <cfRule type="dataBar" priority="31">
      <dataBar>
        <cfvo type="min"/>
        <cfvo type="max"/>
        <color rgb="FF638EC6"/>
      </dataBar>
      <extLst>
        <ext xmlns:x14="http://schemas.microsoft.com/office/spreadsheetml/2009/9/main" uri="{B025F937-C7B1-47D3-B67F-A62EFF666E3E}">
          <x14:id>{72778B6F-CC32-428A-8895-D510AF62278A}</x14:id>
        </ext>
      </extLst>
    </cfRule>
  </conditionalFormatting>
  <conditionalFormatting sqref="AK24">
    <cfRule type="dataBar" priority="30">
      <dataBar>
        <cfvo type="min"/>
        <cfvo type="max"/>
        <color rgb="FF638EC6"/>
      </dataBar>
      <extLst>
        <ext xmlns:x14="http://schemas.microsoft.com/office/spreadsheetml/2009/9/main" uri="{B025F937-C7B1-47D3-B67F-A62EFF666E3E}">
          <x14:id>{6292DF3D-54EB-4749-A718-2D2C9924D785}</x14:id>
        </ext>
      </extLst>
    </cfRule>
  </conditionalFormatting>
  <conditionalFormatting sqref="AK24">
    <cfRule type="dataBar" priority="29">
      <dataBar>
        <cfvo type="min"/>
        <cfvo type="max"/>
        <color rgb="FF638EC6"/>
      </dataBar>
      <extLst>
        <ext xmlns:x14="http://schemas.microsoft.com/office/spreadsheetml/2009/9/main" uri="{B025F937-C7B1-47D3-B67F-A62EFF666E3E}">
          <x14:id>{8988159A-133A-46B3-84B8-B6916442F430}</x14:id>
        </ext>
      </extLst>
    </cfRule>
  </conditionalFormatting>
  <conditionalFormatting sqref="AK24">
    <cfRule type="dataBar" priority="28">
      <dataBar>
        <cfvo type="min"/>
        <cfvo type="max"/>
        <color rgb="FF638EC6"/>
      </dataBar>
      <extLst>
        <ext xmlns:x14="http://schemas.microsoft.com/office/spreadsheetml/2009/9/main" uri="{B025F937-C7B1-47D3-B67F-A62EFF666E3E}">
          <x14:id>{5514D3B0-BFDF-4844-8B10-F7A3DA3454D7}</x14:id>
        </ext>
      </extLst>
    </cfRule>
  </conditionalFormatting>
  <conditionalFormatting sqref="AP19 AN19">
    <cfRule type="colorScale" priority="27">
      <colorScale>
        <cfvo type="min"/>
        <cfvo type="percentile" val="50"/>
        <cfvo type="max"/>
        <color rgb="FFF8696B"/>
        <color rgb="FFFFEB84"/>
        <color rgb="FF63BE7B"/>
      </colorScale>
    </cfRule>
  </conditionalFormatting>
  <conditionalFormatting sqref="V15:V42 BYV30 AE22:AK22 AJ21:AK21 AE24:AK42 AO24:AO42 BYV36:BYV42 AM42 AM24:AM40 AQ24:AR42">
    <cfRule type="dataBar" priority="43">
      <dataBar>
        <cfvo type="min"/>
        <cfvo type="max"/>
        <color rgb="FFFFB628"/>
      </dataBar>
      <extLst>
        <ext xmlns:x14="http://schemas.microsoft.com/office/spreadsheetml/2009/9/main" uri="{B025F937-C7B1-47D3-B67F-A62EFF666E3E}">
          <x14:id>{29697B44-D6CE-49C9-9040-2959F6677E7D}</x14:id>
        </ext>
      </extLst>
    </cfRule>
  </conditionalFormatting>
  <conditionalFormatting sqref="AO44">
    <cfRule type="dataBar" priority="11">
      <dataBar>
        <cfvo type="min"/>
        <cfvo type="max"/>
        <color rgb="FFFFB628"/>
      </dataBar>
      <extLst>
        <ext xmlns:x14="http://schemas.microsoft.com/office/spreadsheetml/2009/9/main" uri="{B025F937-C7B1-47D3-B67F-A62EFF666E3E}">
          <x14:id>{322C4F6D-B0BB-4DD2-97D1-337B6B8C45A5}</x14:id>
        </ext>
      </extLst>
    </cfRule>
  </conditionalFormatting>
  <conditionalFormatting sqref="AP11:AP12">
    <cfRule type="iconSet" priority="9">
      <iconSet>
        <cfvo type="percent" val="0"/>
        <cfvo type="num" val="0.25"/>
        <cfvo type="num" val="0.75"/>
      </iconSet>
    </cfRule>
    <cfRule type="iconSet" priority="10">
      <iconSet>
        <cfvo type="percent" val="0"/>
        <cfvo type="percent" val="25"/>
        <cfvo type="percent" val="75"/>
      </iconSet>
    </cfRule>
  </conditionalFormatting>
  <conditionalFormatting sqref="AL24">
    <cfRule type="iconSet" priority="8">
      <iconSet>
        <cfvo type="percent" val="0"/>
        <cfvo type="num" val="50"/>
        <cfvo type="num" val="75"/>
      </iconSet>
    </cfRule>
  </conditionalFormatting>
  <conditionalFormatting sqref="AL26">
    <cfRule type="iconSet" priority="7">
      <iconSet>
        <cfvo type="percent" val="0"/>
        <cfvo type="num" val="50"/>
        <cfvo type="num" val="75"/>
      </iconSet>
    </cfRule>
  </conditionalFormatting>
  <conditionalFormatting sqref="AL28">
    <cfRule type="iconSet" priority="6">
      <iconSet>
        <cfvo type="percent" val="0"/>
        <cfvo type="num" val="50"/>
        <cfvo type="num" val="75"/>
      </iconSet>
    </cfRule>
  </conditionalFormatting>
  <conditionalFormatting sqref="AL29">
    <cfRule type="iconSet" priority="5">
      <iconSet>
        <cfvo type="percent" val="0"/>
        <cfvo type="num" val="50"/>
        <cfvo type="num" val="75"/>
      </iconSet>
    </cfRule>
  </conditionalFormatting>
  <conditionalFormatting sqref="AL30">
    <cfRule type="iconSet" priority="4">
      <iconSet>
        <cfvo type="percent" val="0"/>
        <cfvo type="num" val="50"/>
        <cfvo type="num" val="75"/>
      </iconSet>
    </cfRule>
  </conditionalFormatting>
  <conditionalFormatting sqref="AL42 AL39:AL40 AL37 AL35 AL32:AL33">
    <cfRule type="iconSet" priority="3">
      <iconSet>
        <cfvo type="percent" val="0"/>
        <cfvo type="num" val="50"/>
        <cfvo type="num" val="75"/>
      </iconSet>
    </cfRule>
  </conditionalFormatting>
  <conditionalFormatting sqref="AL24 AL26 AL28:AL30 AL32:AL33 AL35 AL37 AL39:AL40 AL42">
    <cfRule type="iconSet" priority="2">
      <iconSet>
        <cfvo type="percent" val="0"/>
        <cfvo type="num" val="26"/>
        <cfvo type="num" val="75"/>
      </iconSet>
    </cfRule>
  </conditionalFormatting>
  <dataValidations count="12">
    <dataValidation type="list" allowBlank="1" showInputMessage="1" showErrorMessage="1" sqref="N42" xr:uid="{48F1BD6A-E108-4230-81AB-D614BDF327CD}">
      <formula1>co2berekening</formula1>
    </dataValidation>
    <dataValidation type="list" allowBlank="1" showInputMessage="1" showErrorMessage="1" sqref="N40" xr:uid="{B7DD8120-6CA7-46CC-8346-A8564B0A227A}">
      <formula1>circulariteit</formula1>
    </dataValidation>
    <dataValidation type="list" allowBlank="1" showInputMessage="1" showErrorMessage="1" sqref="N39" xr:uid="{6EDB5AE3-1981-4F8E-B575-BE4CEE53828E}">
      <formula1>mki</formula1>
    </dataValidation>
    <dataValidation type="list" allowBlank="1" showInputMessage="1" showErrorMessage="1" sqref="N37" xr:uid="{DEE8D816-8631-4E6E-B0A0-68D521A48D65}">
      <formula1>beheeronderhoud</formula1>
    </dataValidation>
    <dataValidation type="list" allowBlank="1" showInputMessage="1" showErrorMessage="1" sqref="N35" xr:uid="{4FCFC774-3039-45A3-B67A-4106D11FC3AD}">
      <formula1>adaptatie</formula1>
    </dataValidation>
    <dataValidation type="list" allowBlank="1" showInputMessage="1" showErrorMessage="1" sqref="N33" xr:uid="{3883369F-FB09-421A-8494-0FBC1B9CE338}">
      <formula1>materialenpaspoort</formula1>
    </dataValidation>
    <dataValidation type="list" allowBlank="1" showInputMessage="1" showErrorMessage="1" sqref="N32" xr:uid="{65F0BC50-0A63-4A73-AC0C-1F41967586B1}">
      <formula1>herbruikbaarheid</formula1>
    </dataValidation>
    <dataValidation type="list" allowBlank="1" showInputMessage="1" showErrorMessage="1" sqref="N30" xr:uid="{2A84768C-6D87-4D68-834D-BDABA8313222}">
      <formula1>natuurlijkeprocessen</formula1>
    </dataValidation>
    <dataValidation type="list" allowBlank="1" showInputMessage="1" showErrorMessage="1" sqref="N29" xr:uid="{99EF7E03-12D6-4F16-A7D9-F102E50C1172}">
      <formula1>materialendatabank</formula1>
    </dataValidation>
    <dataValidation type="list" allowBlank="1" showInputMessage="1" showErrorMessage="1" sqref="N28" xr:uid="{1B841814-BEC3-484D-9210-05E9C8BD61AC}">
      <formula1>restwaardehergebruik</formula1>
    </dataValidation>
    <dataValidation type="list" allowBlank="1" showInputMessage="1" showErrorMessage="1" sqref="N26" xr:uid="{C3F03C5B-B06F-45EA-87CE-A6C747A71317}">
      <formula1>levensduurverlenging</formula1>
    </dataValidation>
    <dataValidation type="list" allowBlank="1" showInputMessage="1" showErrorMessage="1" sqref="N24" xr:uid="{2F8F6202-FEFF-42BE-B77A-32DE09D10067}">
      <formula1>opgverkleining</formula1>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dataBar" id="{E1DCAD96-E725-4CC2-B71C-79731EA4EFB2}">
            <x14:dataBar minLength="0" maxLength="100" border="1" negativeBarBorderColorSameAsPositive="0">
              <x14:cfvo type="autoMin"/>
              <x14:cfvo type="autoMax"/>
              <x14:borderColor rgb="FF638EC6"/>
              <x14:negativeFillColor rgb="FFFF0000"/>
              <x14:negativeBorderColor rgb="FFFF0000"/>
              <x14:axisColor rgb="FF000000"/>
            </x14:dataBar>
          </x14:cfRule>
          <xm:sqref>AE24:AJ24 AE26:AK26</xm:sqref>
        </x14:conditionalFormatting>
        <x14:conditionalFormatting xmlns:xm="http://schemas.microsoft.com/office/excel/2006/main">
          <x14:cfRule type="dataBar" id="{B1C62390-91A8-4A33-B10C-63A6E6E9E9E0}">
            <x14:dataBar minLength="0" maxLength="100" border="1" negativeBarBorderColorSameAsPositive="0">
              <x14:cfvo type="autoMin"/>
              <x14:cfvo type="autoMax"/>
              <x14:borderColor rgb="FF638EC6"/>
              <x14:negativeFillColor rgb="FFFF0000"/>
              <x14:negativeBorderColor rgb="FFFF0000"/>
              <x14:axisColor rgb="FF000000"/>
            </x14:dataBar>
          </x14:cfRule>
          <xm:sqref>AE22:AI22 AE28:AK30 AE32:AK33 AE35:AK35 AE37:AK37 AE39:AK40 AE42:AK42</xm:sqref>
        </x14:conditionalFormatting>
        <x14:conditionalFormatting xmlns:xm="http://schemas.microsoft.com/office/excel/2006/main">
          <x14:cfRule type="dataBar" id="{AF1BB52A-B186-48C8-89E3-0FAF376D75B8}">
            <x14:dataBar minLength="0" maxLength="100" border="1" negativeBarBorderColorSameAsPositive="0">
              <x14:cfvo type="autoMin"/>
              <x14:cfvo type="autoMax"/>
              <x14:borderColor rgb="FF638EC6"/>
              <x14:negativeFillColor rgb="FFFF0000"/>
              <x14:negativeBorderColor rgb="FFFF0000"/>
              <x14:axisColor rgb="FF000000"/>
            </x14:dataBar>
          </x14:cfRule>
          <xm:sqref>AE24:AJ24 AE26:AK26 AE28:AK28 AE22:AK22</xm:sqref>
        </x14:conditionalFormatting>
        <x14:conditionalFormatting xmlns:xm="http://schemas.microsoft.com/office/excel/2006/main">
          <x14:cfRule type="dataBar" id="{9139779C-FFFF-476B-B20E-859FF9FE5FC2}">
            <x14:dataBar minLength="0" maxLength="100" gradient="0">
              <x14:cfvo type="autoMin"/>
              <x14:cfvo type="autoMax"/>
              <x14:negativeFillColor rgb="FFFF0000"/>
              <x14:axisColor rgb="FF000000"/>
            </x14:dataBar>
          </x14:cfRule>
          <xm:sqref>AE26:AE42</xm:sqref>
        </x14:conditionalFormatting>
        <x14:conditionalFormatting xmlns:xm="http://schemas.microsoft.com/office/excel/2006/main">
          <x14:cfRule type="dataBar" id="{237C3206-5986-4109-AA18-C6A37C677972}">
            <x14:dataBar minLength="0" maxLength="100" gradient="0">
              <x14:cfvo type="autoMin"/>
              <x14:cfvo type="autoMax"/>
              <x14:negativeFillColor rgb="FFFF0000"/>
              <x14:axisColor rgb="FF000000"/>
            </x14:dataBar>
          </x14:cfRule>
          <xm:sqref>AE24</xm:sqref>
        </x14:conditionalFormatting>
        <x14:conditionalFormatting xmlns:xm="http://schemas.microsoft.com/office/excel/2006/main">
          <x14:cfRule type="dataBar" id="{875F498B-3A94-45C8-A355-CCE5E5FACAD3}">
            <x14:dataBar minLength="0" maxLength="100" gradient="0">
              <x14:cfvo type="autoMin"/>
              <x14:cfvo type="autoMax"/>
              <x14:negativeFillColor rgb="FFFF0000"/>
              <x14:axisColor rgb="FF000000"/>
            </x14:dataBar>
          </x14:cfRule>
          <xm:sqref>AE24</xm:sqref>
        </x14:conditionalFormatting>
        <x14:conditionalFormatting xmlns:xm="http://schemas.microsoft.com/office/excel/2006/main">
          <x14:cfRule type="dataBar" id="{97F1AB34-B56A-4D31-BF04-8C2BDB7CC336}">
            <x14:dataBar minLength="0" maxLength="100" gradient="0">
              <x14:cfvo type="autoMin"/>
              <x14:cfvo type="autoMax"/>
              <x14:negativeFillColor rgb="FFFF0000"/>
              <x14:axisColor rgb="FF000000"/>
            </x14:dataBar>
          </x14:cfRule>
          <xm:sqref>AE22:AE42</xm:sqref>
        </x14:conditionalFormatting>
        <x14:conditionalFormatting xmlns:xm="http://schemas.microsoft.com/office/excel/2006/main">
          <x14:cfRule type="dataBar" id="{DCDF9EEE-7F68-4408-AA2A-F9831653B3C4}">
            <x14:dataBar minLength="0" maxLength="100" gradient="0">
              <x14:cfvo type="autoMin"/>
              <x14:cfvo type="autoMax"/>
              <x14:negativeFillColor rgb="FFFF0000"/>
              <x14:axisColor rgb="FF000000"/>
            </x14:dataBar>
          </x14:cfRule>
          <x14:cfRule type="dataBar" id="{5DBCAEC1-D80E-43B1-95FA-0D09EBB75EC1}">
            <x14:dataBar minLength="0" maxLength="100" gradient="0">
              <x14:cfvo type="autoMin"/>
              <x14:cfvo type="autoMax"/>
              <x14:negativeFillColor rgb="FFFF0000"/>
              <x14:axisColor rgb="FF000000"/>
            </x14:dataBar>
          </x14:cfRule>
          <xm:sqref>AE21:AE42</xm:sqref>
        </x14:conditionalFormatting>
        <x14:conditionalFormatting xmlns:xm="http://schemas.microsoft.com/office/excel/2006/main">
          <x14:cfRule type="dataBar" id="{47BBC51A-48F0-4AB6-BE64-D675F112AF18}">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E04ECA94-4206-48E1-85D2-EF6B323D0641}">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72778B6F-CC32-428A-8895-D510AF62278A}">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6292DF3D-54EB-4749-A718-2D2C9924D785}">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8988159A-133A-46B3-84B8-B6916442F430}">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5514D3B0-BFDF-4844-8B10-F7A3DA3454D7}">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29697B44-D6CE-49C9-9040-2959F6677E7D}">
            <x14:dataBar minLength="0" maxLength="100" border="1" negativeBarBorderColorSameAsPositive="0">
              <x14:cfvo type="autoMin"/>
              <x14:cfvo type="autoMax"/>
              <x14:borderColor rgb="FFFFB628"/>
              <x14:negativeFillColor rgb="FFFF0000"/>
              <x14:negativeBorderColor rgb="FFFF0000"/>
              <x14:axisColor rgb="FF000000"/>
            </x14:dataBar>
          </x14:cfRule>
          <xm:sqref>V15:V42 BYV30 AE22:AK22 AJ21:AK21 AE24:AK42 AO24:AO42 BYV36:BYV42 AM42 AM24:AM40 AQ24:AR42</xm:sqref>
        </x14:conditionalFormatting>
        <x14:conditionalFormatting xmlns:xm="http://schemas.microsoft.com/office/excel/2006/main">
          <x14:cfRule type="dataBar" id="{322C4F6D-B0BB-4DD2-97D1-337B6B8C45A5}">
            <x14:dataBar minLength="0" maxLength="100" border="1" negativeBarBorderColorSameAsPositive="0">
              <x14:cfvo type="autoMin"/>
              <x14:cfvo type="autoMax"/>
              <x14:borderColor rgb="FFFFB628"/>
              <x14:negativeFillColor rgb="FFFF0000"/>
              <x14:negativeBorderColor rgb="FFFF0000"/>
              <x14:axisColor rgb="FF000000"/>
            </x14:dataBar>
          </x14:cfRule>
          <xm:sqref>AO44</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6DD70-47C6-452D-B3D3-D72BF64E5CCE}">
  <sheetPr>
    <tabColor rgb="FF3A0000"/>
  </sheetPr>
  <dimension ref="A1:CAC88"/>
  <sheetViews>
    <sheetView showGridLines="0" showRowColHeaders="0" zoomScale="55" zoomScaleNormal="55" workbookViewId="0">
      <selection activeCell="N7" sqref="N7"/>
    </sheetView>
  </sheetViews>
  <sheetFormatPr defaultRowHeight="14.4" x14ac:dyDescent="0.3"/>
  <cols>
    <col min="1" max="9" width="1.6640625" customWidth="1"/>
    <col min="10" max="10" width="89.33203125" style="1" customWidth="1"/>
    <col min="11" max="11" width="6.33203125" bestFit="1" customWidth="1"/>
    <col min="12" max="12" width="38.6640625" customWidth="1"/>
    <col min="13" max="13" width="2.77734375" customWidth="1"/>
    <col min="14" max="14" width="134.6640625" customWidth="1"/>
    <col min="15" max="15" width="1.6640625" customWidth="1"/>
    <col min="16" max="30" width="5.6640625" hidden="1" customWidth="1"/>
    <col min="31" max="31" width="8.33203125" hidden="1" customWidth="1"/>
    <col min="32" max="36" width="5.6640625" hidden="1" customWidth="1"/>
    <col min="37" max="37" width="7.6640625" hidden="1" customWidth="1"/>
    <col min="38" max="38" width="28" customWidth="1"/>
    <col min="39" max="39" width="2.6640625" hidden="1" customWidth="1"/>
    <col min="40" max="40" width="8.33203125" style="108" customWidth="1"/>
    <col min="41" max="41" width="2.6640625" hidden="1" customWidth="1"/>
    <col min="42" max="42" width="18.6640625" style="109" customWidth="1"/>
    <col min="43" max="43" width="5.6640625" customWidth="1"/>
    <col min="44" max="44" width="97" customWidth="1"/>
    <col min="45" max="46" width="8.88671875" customWidth="1"/>
    <col min="47" max="47" width="8.6640625" customWidth="1"/>
    <col min="48" max="48" width="21.6640625" customWidth="1"/>
    <col min="49" max="50" width="8.88671875" customWidth="1"/>
    <col min="51" max="51" width="8.6640625" customWidth="1"/>
    <col min="52" max="52" width="21.6640625" customWidth="1"/>
    <col min="53" max="54" width="8.88671875" customWidth="1"/>
    <col min="55" max="55" width="8.6640625" customWidth="1"/>
    <col min="56" max="56" width="21.6640625" customWidth="1"/>
    <col min="57" max="63" width="8.88671875" customWidth="1"/>
    <col min="64" max="64" width="26.88671875" hidden="1" customWidth="1"/>
    <col min="65" max="66" width="1.6640625" style="207" hidden="1" customWidth="1"/>
    <col min="67" max="67" width="5.33203125" style="207" hidden="1" customWidth="1"/>
    <col min="68" max="68" width="8.88671875" hidden="1" customWidth="1"/>
    <col min="69" max="69" width="8.88671875" customWidth="1"/>
    <col min="2023" max="2069" width="1.77734375" customWidth="1"/>
  </cols>
  <sheetData>
    <row r="1" spans="1:67 2022:2057" ht="69" customHeight="1" thickBot="1" x14ac:dyDescent="0.35">
      <c r="BYT1" s="299"/>
      <c r="BYU1" s="299"/>
      <c r="BYV1" s="299"/>
      <c r="BYW1" s="299"/>
      <c r="BYX1" s="299"/>
      <c r="BYY1" s="299"/>
      <c r="BYZ1" s="299"/>
      <c r="BZA1" s="299"/>
      <c r="BZB1" s="299"/>
      <c r="BZC1" s="299"/>
      <c r="BZD1" s="299"/>
      <c r="BZE1" s="299"/>
      <c r="BZF1" s="299"/>
      <c r="BZG1" s="299"/>
      <c r="BZH1" s="299"/>
      <c r="BZI1" s="299"/>
      <c r="BZJ1" s="299"/>
      <c r="BZK1" s="299"/>
      <c r="BZL1" s="299"/>
      <c r="BZM1" s="299"/>
      <c r="BZN1" s="299"/>
      <c r="BZO1" s="299"/>
      <c r="BZP1" s="299"/>
      <c r="BZQ1" s="299"/>
      <c r="BZR1" s="299"/>
      <c r="BZS1" s="299"/>
      <c r="BZT1" s="299"/>
      <c r="BZU1" s="299"/>
      <c r="BZV1" s="299"/>
      <c r="BZW1" s="299"/>
      <c r="BZX1" s="299"/>
      <c r="BZY1" s="299"/>
      <c r="BZZ1" s="277"/>
      <c r="CAA1" s="278"/>
      <c r="CAB1" s="278"/>
      <c r="CAC1" s="279"/>
    </row>
    <row r="2" spans="1:67 2022:2057" ht="91.8" x14ac:dyDescent="1.65">
      <c r="K2" s="291"/>
      <c r="L2" s="550"/>
      <c r="M2" s="267"/>
      <c r="N2" s="550" t="s">
        <v>18</v>
      </c>
      <c r="O2" s="267"/>
      <c r="P2" s="267"/>
      <c r="Q2" s="267"/>
      <c r="R2" s="267"/>
      <c r="S2" s="267"/>
      <c r="T2" s="267"/>
      <c r="U2" s="267"/>
      <c r="V2" s="267"/>
      <c r="W2" s="267"/>
      <c r="X2" s="267"/>
      <c r="Y2" s="267"/>
      <c r="Z2" s="267"/>
      <c r="AA2" s="267"/>
      <c r="AB2" s="267"/>
      <c r="AC2" s="267"/>
      <c r="AD2" s="267"/>
      <c r="AE2" s="267"/>
      <c r="AF2" s="267"/>
      <c r="AG2" s="267"/>
      <c r="AH2" s="267"/>
      <c r="AI2" s="267"/>
      <c r="AJ2" s="267"/>
      <c r="AK2" s="267"/>
      <c r="AL2" s="267"/>
      <c r="AM2" s="274"/>
      <c r="AN2" s="303"/>
      <c r="AO2" s="304"/>
      <c r="AP2" s="371"/>
      <c r="BYT2" s="299"/>
      <c r="BYU2" s="299"/>
      <c r="BYV2" s="299"/>
      <c r="BYW2" s="299"/>
      <c r="BYX2" s="299"/>
      <c r="BYY2" s="299"/>
      <c r="BYZ2" s="299"/>
      <c r="BZA2" s="299"/>
      <c r="BZB2" s="299"/>
      <c r="BZC2" s="299"/>
      <c r="BZD2" s="299"/>
      <c r="BZE2" s="299"/>
      <c r="BZF2" s="299"/>
      <c r="BZG2" s="299"/>
      <c r="BZH2" s="299"/>
      <c r="BZI2" s="299"/>
      <c r="BZJ2" s="299"/>
      <c r="BZK2" s="299"/>
      <c r="BZL2" s="299"/>
      <c r="BZM2" s="299"/>
      <c r="BZN2" s="299"/>
      <c r="BZO2" s="299"/>
      <c r="BZP2" s="299"/>
      <c r="BZQ2" s="299"/>
      <c r="BZR2" s="299"/>
      <c r="BZS2" s="299"/>
      <c r="BZT2" s="299"/>
      <c r="BZU2" s="299"/>
      <c r="BZV2" s="299"/>
      <c r="BZW2" s="299"/>
      <c r="BZX2" s="299"/>
      <c r="BZY2" s="299"/>
      <c r="BZZ2" s="280"/>
      <c r="CAA2" s="281"/>
      <c r="CAB2" s="281"/>
      <c r="CAC2" s="282"/>
    </row>
    <row r="3" spans="1:67 2022:2057" ht="34.200000000000003" thickBot="1" x14ac:dyDescent="0.7">
      <c r="K3" s="292"/>
      <c r="L3" s="647"/>
      <c r="M3" s="164"/>
      <c r="N3" s="647" t="s">
        <v>19</v>
      </c>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275"/>
      <c r="AN3" s="301"/>
      <c r="AO3" s="302"/>
      <c r="AP3" s="379"/>
      <c r="BYT3" s="299"/>
      <c r="BYU3" s="299"/>
      <c r="BYV3" s="299"/>
      <c r="BYW3" s="299"/>
      <c r="BYX3" s="299"/>
      <c r="BYY3" s="299"/>
      <c r="BYZ3" s="299"/>
      <c r="BZA3" s="299"/>
      <c r="BZB3" s="299"/>
      <c r="BZC3" s="299"/>
      <c r="BZD3" s="299"/>
      <c r="BZE3" s="299"/>
      <c r="BZF3" s="299"/>
      <c r="BZG3" s="299"/>
      <c r="BZH3" s="299"/>
      <c r="BZI3" s="299"/>
      <c r="BZJ3" s="299"/>
      <c r="BZK3" s="299"/>
      <c r="BZL3" s="299"/>
      <c r="BZM3" s="299"/>
      <c r="BZN3" s="299"/>
      <c r="BZO3" s="299"/>
      <c r="BZP3" s="299"/>
      <c r="BZQ3" s="299"/>
      <c r="BZR3" s="299"/>
      <c r="BZS3" s="299"/>
      <c r="BZT3" s="299"/>
      <c r="BZU3" s="299"/>
      <c r="BZV3" s="299"/>
      <c r="BZW3" s="299"/>
      <c r="BZX3" s="299"/>
      <c r="BZY3" s="299"/>
      <c r="BZZ3" s="280"/>
      <c r="CAA3" s="281"/>
      <c r="CAB3" s="281"/>
      <c r="CAC3" s="282"/>
    </row>
    <row r="4" spans="1:67 2022:2057" ht="15.6" x14ac:dyDescent="0.3">
      <c r="K4" s="291"/>
      <c r="L4" s="305" t="s">
        <v>21</v>
      </c>
      <c r="M4" s="682" t="str">
        <f>IF(N4="","         voer hier de projectnaam in","")</f>
        <v/>
      </c>
      <c r="N4" s="739" t="str">
        <f>'invoer Basis'!N4</f>
        <v>Projectnaam</v>
      </c>
      <c r="O4" s="267"/>
      <c r="P4" s="267"/>
      <c r="Q4" s="267"/>
      <c r="R4" s="267"/>
      <c r="S4" s="267"/>
      <c r="T4" s="267"/>
      <c r="U4" s="267"/>
      <c r="V4" s="267"/>
      <c r="W4" s="267"/>
      <c r="X4" s="267"/>
      <c r="Y4" s="267"/>
      <c r="Z4" s="267"/>
      <c r="AA4" s="267"/>
      <c r="AB4" s="267"/>
      <c r="AC4" s="267"/>
      <c r="AD4" s="267"/>
      <c r="AE4" s="267"/>
      <c r="AF4" s="267"/>
      <c r="AG4" s="267"/>
      <c r="AH4" s="267"/>
      <c r="AI4" s="267"/>
      <c r="AJ4" s="267"/>
      <c r="AK4" s="267"/>
      <c r="AL4" s="698"/>
      <c r="AM4" s="698"/>
      <c r="AN4" s="702"/>
      <c r="AO4" s="304"/>
      <c r="AP4" s="703"/>
      <c r="BYT4" s="299"/>
      <c r="BYU4" s="299"/>
      <c r="BYV4" s="299"/>
      <c r="BYW4" s="299"/>
      <c r="BYX4" s="299"/>
      <c r="BYY4" s="299"/>
      <c r="BYZ4" s="299"/>
      <c r="BZA4" s="299"/>
      <c r="BZB4" s="299"/>
      <c r="BZC4" s="299"/>
      <c r="BZD4" s="299"/>
      <c r="BZE4" s="299"/>
      <c r="BZF4" s="299"/>
      <c r="BZG4" s="299"/>
      <c r="BZH4" s="299"/>
      <c r="BZI4" s="299"/>
      <c r="BZJ4" s="299"/>
      <c r="BZK4" s="299"/>
      <c r="BZL4" s="299"/>
      <c r="BZM4" s="299"/>
      <c r="BZN4" s="299"/>
      <c r="BZO4" s="299"/>
      <c r="BZP4" s="299"/>
      <c r="BZQ4" s="299"/>
      <c r="BZR4" s="299"/>
      <c r="BZS4" s="299"/>
      <c r="BZT4" s="299"/>
      <c r="BZU4" s="299"/>
      <c r="BZV4" s="299"/>
      <c r="BZW4" s="299"/>
      <c r="BZX4" s="299"/>
      <c r="BZY4" s="299"/>
      <c r="BZZ4" s="280"/>
      <c r="CAA4" s="281"/>
      <c r="CAB4" s="281"/>
      <c r="CAC4" s="282"/>
    </row>
    <row r="5" spans="1:67 2022:2057" ht="15.6" x14ac:dyDescent="0.3">
      <c r="K5" s="275"/>
      <c r="L5" s="305" t="s">
        <v>313</v>
      </c>
      <c r="M5" s="682" t="str">
        <f>IF(N5="","         voer hier de naam van de opdrachtgever in","")</f>
        <v/>
      </c>
      <c r="N5" s="739" t="str">
        <f>'invoer Basis'!N5</f>
        <v>Naam opdrachtgever</v>
      </c>
      <c r="O5" s="20"/>
      <c r="P5" s="20"/>
      <c r="Q5" s="20"/>
      <c r="R5" s="20"/>
      <c r="S5" s="20"/>
      <c r="T5" s="20"/>
      <c r="U5" s="20"/>
      <c r="V5" s="20"/>
      <c r="W5" s="20"/>
      <c r="X5" s="20"/>
      <c r="Y5" s="20"/>
      <c r="Z5" s="20"/>
      <c r="AA5" s="20"/>
      <c r="AB5" s="20"/>
      <c r="AC5" s="20"/>
      <c r="AD5" s="20"/>
      <c r="AE5" s="20"/>
      <c r="AF5" s="20"/>
      <c r="AG5" s="20"/>
      <c r="AH5" s="20"/>
      <c r="AI5" s="20"/>
      <c r="AJ5" s="20"/>
      <c r="AK5" s="20"/>
      <c r="AL5" s="167"/>
      <c r="AM5" s="167"/>
      <c r="AN5" s="183"/>
      <c r="AO5" s="20"/>
      <c r="AP5" s="707" t="s">
        <v>372</v>
      </c>
      <c r="BYT5" s="299"/>
      <c r="BYU5" s="299"/>
      <c r="BYV5" s="299"/>
      <c r="BYW5" s="299"/>
      <c r="BYX5" s="299"/>
      <c r="BYY5" s="299"/>
      <c r="BYZ5" s="299"/>
      <c r="BZA5" s="299"/>
      <c r="BZB5" s="299"/>
      <c r="BZC5" s="299"/>
      <c r="BZD5" s="299"/>
      <c r="BZE5" s="299"/>
      <c r="BZF5" s="299"/>
      <c r="BZG5" s="299"/>
      <c r="BZH5" s="299"/>
      <c r="BZI5" s="299"/>
      <c r="BZJ5" s="299"/>
      <c r="BZK5" s="299"/>
      <c r="BZL5" s="299"/>
      <c r="BZM5" s="299"/>
      <c r="BZN5" s="299"/>
      <c r="BZO5" s="299"/>
      <c r="BZP5" s="299"/>
      <c r="BZQ5" s="299"/>
      <c r="BZR5" s="299"/>
      <c r="BZS5" s="299"/>
      <c r="BZT5" s="299"/>
      <c r="BZU5" s="299"/>
      <c r="BZV5" s="299"/>
      <c r="BZW5" s="299"/>
      <c r="BZX5" s="299"/>
      <c r="BZY5" s="299"/>
      <c r="BZZ5" s="280"/>
      <c r="CAA5" s="281"/>
      <c r="CAB5" s="281"/>
      <c r="CAC5" s="282"/>
    </row>
    <row r="6" spans="1:67 2022:2057" ht="15.6" x14ac:dyDescent="0.3">
      <c r="K6" s="275"/>
      <c r="L6" s="305" t="s">
        <v>316</v>
      </c>
      <c r="M6" s="682" t="str">
        <f>IF(N6="","         voer hier de locatie van het project in","")</f>
        <v/>
      </c>
      <c r="N6" s="739" t="str">
        <f>'invoer Basis'!N6</f>
        <v>Plaatsnaam</v>
      </c>
      <c r="O6" s="20"/>
      <c r="P6" s="20"/>
      <c r="Q6" s="20"/>
      <c r="R6" s="20"/>
      <c r="S6" s="20"/>
      <c r="T6" s="20"/>
      <c r="U6" s="20"/>
      <c r="V6" s="20"/>
      <c r="W6" s="20"/>
      <c r="X6" s="20"/>
      <c r="Y6" s="20"/>
      <c r="Z6" s="20"/>
      <c r="AA6" s="20"/>
      <c r="AB6" s="20"/>
      <c r="AC6" s="20"/>
      <c r="AD6" s="20"/>
      <c r="AE6" s="20"/>
      <c r="AF6" s="20"/>
      <c r="AG6" s="20"/>
      <c r="AH6" s="20"/>
      <c r="AI6" s="20"/>
      <c r="AJ6" s="20"/>
      <c r="AK6" s="20"/>
      <c r="AL6" s="167"/>
      <c r="AM6" s="694"/>
      <c r="AN6" s="686"/>
      <c r="AO6" s="687"/>
      <c r="AP6" s="704" t="s">
        <v>661</v>
      </c>
      <c r="BYT6" s="299"/>
      <c r="BYU6" s="299"/>
      <c r="BYV6" s="299"/>
      <c r="BYW6" s="299"/>
      <c r="BYX6" s="299"/>
      <c r="BYY6" s="299"/>
      <c r="BYZ6" s="299"/>
      <c r="BZA6" s="299"/>
      <c r="BZB6" s="299"/>
      <c r="BZC6" s="299"/>
      <c r="BZD6" s="299"/>
      <c r="BZE6" s="299"/>
      <c r="BZF6" s="299"/>
      <c r="BZG6" s="299"/>
      <c r="BZH6" s="299"/>
      <c r="BZI6" s="299"/>
      <c r="BZJ6" s="299"/>
      <c r="BZK6" s="299"/>
      <c r="BZL6" s="299"/>
      <c r="BZM6" s="299"/>
      <c r="BZN6" s="299"/>
      <c r="BZO6" s="299"/>
      <c r="BZP6" s="299"/>
      <c r="BZQ6" s="299"/>
      <c r="BZR6" s="299"/>
      <c r="BZS6" s="299"/>
      <c r="BZT6" s="299"/>
      <c r="BZU6" s="299"/>
      <c r="BZV6" s="299"/>
      <c r="BZW6" s="299"/>
      <c r="BZX6" s="299"/>
      <c r="BZY6" s="299"/>
      <c r="BZZ6" s="280"/>
      <c r="CAA6" s="281"/>
      <c r="CAB6" s="281"/>
      <c r="CAC6" s="282"/>
    </row>
    <row r="7" spans="1:67 2022:2057" ht="15.6" x14ac:dyDescent="0.3">
      <c r="K7" s="275"/>
      <c r="L7" s="305" t="s">
        <v>317</v>
      </c>
      <c r="M7" s="684" t="str">
        <f>IF(N7="","         voer hier de naam van het berekende alternatief in","")</f>
        <v/>
      </c>
      <c r="N7" s="741" t="s">
        <v>442</v>
      </c>
      <c r="O7" s="20"/>
      <c r="P7" s="20"/>
      <c r="Q7" s="20"/>
      <c r="R7" s="20"/>
      <c r="S7" s="20"/>
      <c r="T7" s="20"/>
      <c r="U7" s="20"/>
      <c r="V7" s="20"/>
      <c r="W7" s="20"/>
      <c r="X7" s="20"/>
      <c r="Y7" s="20"/>
      <c r="Z7" s="20"/>
      <c r="AA7" s="20"/>
      <c r="AB7" s="20"/>
      <c r="AC7" s="20"/>
      <c r="AD7" s="20"/>
      <c r="AE7" s="20"/>
      <c r="AF7" s="20"/>
      <c r="AG7" s="20"/>
      <c r="AH7" s="20"/>
      <c r="AI7" s="20"/>
      <c r="AJ7" s="20"/>
      <c r="AK7" s="20"/>
      <c r="AL7" s="167"/>
      <c r="AM7" s="167"/>
      <c r="AN7" s="183"/>
      <c r="AO7" s="20"/>
      <c r="AP7" s="617"/>
      <c r="BYT7" s="299"/>
      <c r="BYU7" s="299"/>
      <c r="BYV7" s="299"/>
      <c r="BYW7" s="299"/>
      <c r="BYX7" s="299"/>
      <c r="BYY7" s="299"/>
      <c r="BYZ7" s="299"/>
      <c r="BZA7" s="299"/>
      <c r="BZB7" s="299"/>
      <c r="BZC7" s="299"/>
      <c r="BZD7" s="299"/>
      <c r="BZE7" s="299"/>
      <c r="BZF7" s="299"/>
      <c r="BZG7" s="299"/>
      <c r="BZH7" s="299"/>
      <c r="BZI7" s="299"/>
      <c r="BZJ7" s="299"/>
      <c r="BZK7" s="299"/>
      <c r="BZL7" s="299"/>
      <c r="BZM7" s="299"/>
      <c r="BZN7" s="299"/>
      <c r="BZO7" s="299"/>
      <c r="BZP7" s="299"/>
      <c r="BZQ7" s="299"/>
      <c r="BZR7" s="299"/>
      <c r="BZS7" s="299"/>
      <c r="BZT7" s="299"/>
      <c r="BZU7" s="299"/>
      <c r="BZV7" s="299"/>
      <c r="BZW7" s="299"/>
      <c r="BZX7" s="299"/>
      <c r="BZY7" s="299"/>
      <c r="BZZ7" s="280"/>
      <c r="CAA7" s="281"/>
      <c r="CAB7" s="281"/>
      <c r="CAC7" s="282"/>
    </row>
    <row r="8" spans="1:67 2022:2057" ht="15.6" x14ac:dyDescent="0.3">
      <c r="K8" s="275"/>
      <c r="L8" s="305" t="s">
        <v>315</v>
      </c>
      <c r="M8" s="683"/>
      <c r="N8" s="840" t="str">
        <f>'invoer Basis'!$N$8</f>
        <v>verkenningsfase</v>
      </c>
      <c r="O8" s="20"/>
      <c r="P8" s="20"/>
      <c r="Q8" s="20"/>
      <c r="R8" s="20"/>
      <c r="S8" s="20"/>
      <c r="T8" s="20"/>
      <c r="U8" s="20"/>
      <c r="V8" s="20"/>
      <c r="W8" s="20"/>
      <c r="X8" s="20"/>
      <c r="Y8" s="20"/>
      <c r="Z8" s="20"/>
      <c r="AA8" s="20"/>
      <c r="AB8" s="20"/>
      <c r="AC8" s="20"/>
      <c r="AD8" s="20"/>
      <c r="AE8" s="20"/>
      <c r="AF8" s="20"/>
      <c r="AG8" s="20"/>
      <c r="AH8" s="20"/>
      <c r="AI8" s="20"/>
      <c r="AJ8" s="20"/>
      <c r="AK8" s="20"/>
      <c r="AL8" s="167"/>
      <c r="AM8" s="167"/>
      <c r="AN8" s="183"/>
      <c r="AO8" s="302"/>
      <c r="AP8" s="617"/>
      <c r="BYT8" s="299"/>
      <c r="BYU8" s="299"/>
      <c r="BYV8" s="299"/>
      <c r="BYW8" s="299"/>
      <c r="BYX8" s="299"/>
      <c r="BYY8" s="299"/>
      <c r="BYZ8" s="299"/>
      <c r="BZA8" s="299"/>
      <c r="BZB8" s="299"/>
      <c r="BZC8" s="299"/>
      <c r="BZD8" s="299"/>
      <c r="BZE8" s="299"/>
      <c r="BZF8" s="299"/>
      <c r="BZG8" s="299"/>
      <c r="BZH8" s="299"/>
      <c r="BZI8" s="299"/>
      <c r="BZJ8" s="299"/>
      <c r="BZK8" s="299"/>
      <c r="BZL8" s="299"/>
      <c r="BZM8" s="299"/>
      <c r="BZN8" s="299"/>
      <c r="BZO8" s="299"/>
      <c r="BZP8" s="299"/>
      <c r="BZQ8" s="299"/>
      <c r="BZR8" s="299"/>
      <c r="BZS8" s="299"/>
      <c r="BZT8" s="299"/>
      <c r="BZU8" s="299"/>
      <c r="BZV8" s="299"/>
      <c r="BZW8" s="299"/>
      <c r="BZX8" s="299"/>
      <c r="BZY8" s="299"/>
      <c r="BZZ8" s="280"/>
      <c r="CAA8" s="281"/>
      <c r="CAB8" s="281"/>
      <c r="CAC8" s="282"/>
    </row>
    <row r="9" spans="1:67 2022:2057" ht="15.6" x14ac:dyDescent="0.3">
      <c r="K9" s="275"/>
      <c r="L9" s="305"/>
      <c r="M9" s="683"/>
      <c r="N9" s="743" t="str">
        <f>IF(N8="","klik op het blauwe vlak en selecteer via het pull down menu de te beoordelen fase waarin het project zich bevindt (t.b.v. bepaling weegfactoren)","")</f>
        <v/>
      </c>
      <c r="O9" s="20"/>
      <c r="P9" s="20"/>
      <c r="Q9" s="20"/>
      <c r="R9" s="20"/>
      <c r="S9" s="20"/>
      <c r="T9" s="20"/>
      <c r="U9" s="20"/>
      <c r="V9" s="20"/>
      <c r="W9" s="20"/>
      <c r="X9" s="20"/>
      <c r="Y9" s="20"/>
      <c r="Z9" s="20"/>
      <c r="AA9" s="20"/>
      <c r="AB9" s="20"/>
      <c r="AC9" s="20"/>
      <c r="AD9" s="20"/>
      <c r="AE9" s="20"/>
      <c r="AF9" s="20"/>
      <c r="AG9" s="20"/>
      <c r="AH9" s="20"/>
      <c r="AI9" s="20"/>
      <c r="AJ9" s="20"/>
      <c r="AK9" s="20"/>
      <c r="AL9" s="167"/>
      <c r="AM9" s="694"/>
      <c r="AN9" s="688"/>
      <c r="AO9" s="687"/>
      <c r="AP9" s="707" t="s">
        <v>20</v>
      </c>
      <c r="BYT9" s="299"/>
      <c r="BYU9" s="299"/>
      <c r="BYV9" s="299"/>
      <c r="BYW9" s="299"/>
      <c r="BYX9" s="299"/>
      <c r="BYY9" s="299"/>
      <c r="BYZ9" s="299"/>
      <c r="BZA9" s="299"/>
      <c r="BZB9" s="299"/>
      <c r="BZC9" s="299"/>
      <c r="BZD9" s="299"/>
      <c r="BZE9" s="299"/>
      <c r="BZF9" s="299"/>
      <c r="BZG9" s="299"/>
      <c r="BZH9" s="299"/>
      <c r="BZI9" s="299"/>
      <c r="BZJ9" s="299"/>
      <c r="BZK9" s="299"/>
      <c r="BZL9" s="299"/>
      <c r="BZM9" s="299"/>
      <c r="BZN9" s="299"/>
      <c r="BZO9" s="299"/>
      <c r="BZP9" s="299"/>
      <c r="BZQ9" s="299"/>
      <c r="BZR9" s="299"/>
      <c r="BZS9" s="299"/>
      <c r="BZT9" s="299"/>
      <c r="BZU9" s="299"/>
      <c r="BZV9" s="299"/>
      <c r="BZW9" s="299"/>
      <c r="BZX9" s="299"/>
      <c r="BZY9" s="299"/>
      <c r="BZZ9" s="280"/>
      <c r="CAA9" s="281"/>
      <c r="CAB9" s="281"/>
      <c r="CAC9" s="282"/>
    </row>
    <row r="10" spans="1:67 2022:2057" ht="15.6" x14ac:dyDescent="0.3">
      <c r="K10" s="275"/>
      <c r="L10" s="305" t="s">
        <v>23</v>
      </c>
      <c r="M10" s="554" t="str">
        <f>IF(N10="","         klik op dit vlak en selecteer via het pull down menu het gerealiseerd circulaire doel","")</f>
        <v/>
      </c>
      <c r="N10" s="739" t="s">
        <v>452</v>
      </c>
      <c r="O10" s="20"/>
      <c r="P10" s="20"/>
      <c r="Q10" s="20"/>
      <c r="R10" s="20"/>
      <c r="S10" s="20"/>
      <c r="T10" s="20"/>
      <c r="U10" s="20"/>
      <c r="V10" s="20"/>
      <c r="W10" s="20"/>
      <c r="X10" s="20"/>
      <c r="Y10" s="20"/>
      <c r="Z10" s="20"/>
      <c r="AA10" s="20"/>
      <c r="AB10" s="20"/>
      <c r="AC10" s="20"/>
      <c r="AD10" s="20"/>
      <c r="AE10" s="20"/>
      <c r="AF10" s="20"/>
      <c r="AG10" s="20"/>
      <c r="AH10" s="20"/>
      <c r="AI10" s="20"/>
      <c r="AJ10" s="20"/>
      <c r="AK10" s="20"/>
      <c r="AL10" s="167"/>
      <c r="AM10" s="694"/>
      <c r="AN10" s="689"/>
      <c r="AO10" s="687"/>
      <c r="AP10" s="704">
        <v>18012022</v>
      </c>
      <c r="BYT10" s="299"/>
      <c r="BYU10" s="299"/>
      <c r="BYV10" s="299"/>
      <c r="BYW10" s="299"/>
      <c r="BYX10" s="299"/>
      <c r="BYY10" s="299"/>
      <c r="BYZ10" s="299"/>
      <c r="BZA10" s="299"/>
      <c r="BZB10" s="299"/>
      <c r="BZC10" s="299"/>
      <c r="BZD10" s="299"/>
      <c r="BZE10" s="299"/>
      <c r="BZF10" s="299"/>
      <c r="BZG10" s="299"/>
      <c r="BZH10" s="299"/>
      <c r="BZI10" s="299"/>
      <c r="BZJ10" s="299"/>
      <c r="BZK10" s="299"/>
      <c r="BZL10" s="299"/>
      <c r="BZM10" s="299"/>
      <c r="BZN10" s="299"/>
      <c r="BZO10" s="299"/>
      <c r="BZP10" s="299"/>
      <c r="BZQ10" s="299"/>
      <c r="BZR10" s="299"/>
      <c r="BZS10" s="299"/>
      <c r="BZT10" s="299"/>
      <c r="BZU10" s="299"/>
      <c r="BZV10" s="299"/>
      <c r="BZW10" s="299"/>
      <c r="BZX10" s="299"/>
      <c r="BZY10" s="299"/>
      <c r="BZZ10" s="280"/>
      <c r="CAA10" s="281"/>
      <c r="CAB10" s="281"/>
      <c r="CAC10" s="282"/>
    </row>
    <row r="11" spans="1:67 2022:2057" ht="15.6" x14ac:dyDescent="0.3">
      <c r="K11" s="275"/>
      <c r="L11" s="305" t="s">
        <v>24</v>
      </c>
      <c r="M11" s="552" t="str">
        <f>IF(N11="","         klik op dit vlak en selecteer via het pull down menu het gerealiseerd circulaire doel","")</f>
        <v/>
      </c>
      <c r="N11" s="774" t="s">
        <v>453</v>
      </c>
      <c r="O11" s="20"/>
      <c r="P11" s="20"/>
      <c r="Q11" s="20"/>
      <c r="R11" s="20"/>
      <c r="S11" s="20"/>
      <c r="T11" s="20"/>
      <c r="U11" s="20"/>
      <c r="V11" s="20"/>
      <c r="W11" s="20"/>
      <c r="X11" s="20"/>
      <c r="Y11" s="20"/>
      <c r="Z11" s="20"/>
      <c r="AA11" s="20"/>
      <c r="AB11" s="20"/>
      <c r="AC11" s="20"/>
      <c r="AD11" s="20"/>
      <c r="AE11" s="20"/>
      <c r="AF11" s="20"/>
      <c r="AG11" s="20"/>
      <c r="AH11" s="20"/>
      <c r="AI11" s="20"/>
      <c r="AJ11" s="20"/>
      <c r="AK11" s="20"/>
      <c r="AL11" s="167"/>
      <c r="AM11" s="694"/>
      <c r="AN11" s="689"/>
      <c r="AO11" s="687"/>
      <c r="AP11" s="705"/>
      <c r="BYT11" s="299"/>
      <c r="BYU11" s="299"/>
      <c r="BYV11" s="299"/>
      <c r="BYW11" s="299"/>
      <c r="BYX11" s="299"/>
      <c r="BYY11" s="299"/>
      <c r="BYZ11" s="299"/>
      <c r="BZA11" s="299"/>
      <c r="BZB11" s="299"/>
      <c r="BZC11" s="299"/>
      <c r="BZD11" s="299"/>
      <c r="BZE11" s="299"/>
      <c r="BZF11" s="299"/>
      <c r="BZG11" s="299"/>
      <c r="BZH11" s="299"/>
      <c r="BZI11" s="299"/>
      <c r="BZJ11" s="299"/>
      <c r="BZK11" s="299"/>
      <c r="BZL11" s="299"/>
      <c r="BZM11" s="299"/>
      <c r="BZN11" s="299"/>
      <c r="BZO11" s="299"/>
      <c r="BZP11" s="299"/>
      <c r="BZQ11" s="299"/>
      <c r="BZR11" s="299"/>
      <c r="BZS11" s="299"/>
      <c r="BZT11" s="299"/>
      <c r="BZU11" s="299"/>
      <c r="BZV11" s="299"/>
      <c r="BZW11" s="299"/>
      <c r="BZX11" s="299"/>
      <c r="BZY11" s="299"/>
      <c r="BZZ11" s="280"/>
      <c r="CAA11" s="281"/>
      <c r="CAB11" s="281"/>
      <c r="CAC11" s="282"/>
    </row>
    <row r="12" spans="1:67 2022:2057" ht="16.2" thickBot="1" x14ac:dyDescent="0.35">
      <c r="K12" s="276"/>
      <c r="L12" s="306" t="s">
        <v>25</v>
      </c>
      <c r="M12" s="556" t="str">
        <f>IF(N12="","         klik op dit vlak en selecteer via het pull down menu het gerealiseerd circulaire doel","")</f>
        <v/>
      </c>
      <c r="N12" s="744" t="s">
        <v>454</v>
      </c>
      <c r="O12" s="164"/>
      <c r="P12" s="164"/>
      <c r="Q12" s="164"/>
      <c r="R12" s="164"/>
      <c r="S12" s="164"/>
      <c r="T12" s="164"/>
      <c r="U12" s="164"/>
      <c r="V12" s="164"/>
      <c r="W12" s="164"/>
      <c r="X12" s="164"/>
      <c r="Y12" s="164"/>
      <c r="Z12" s="164"/>
      <c r="AA12" s="164"/>
      <c r="AB12" s="164"/>
      <c r="AC12" s="164"/>
      <c r="AD12" s="164"/>
      <c r="AE12" s="164"/>
      <c r="AF12" s="164"/>
      <c r="AG12" s="164"/>
      <c r="AH12" s="164"/>
      <c r="AI12" s="164"/>
      <c r="AJ12" s="164"/>
      <c r="AK12" s="164"/>
      <c r="AL12" s="700"/>
      <c r="AM12" s="701"/>
      <c r="AN12" s="690"/>
      <c r="AO12" s="691"/>
      <c r="AP12" s="706"/>
      <c r="BYT12" s="299"/>
      <c r="BYU12" s="299"/>
      <c r="BYV12" s="299"/>
      <c r="BYW12" s="299"/>
      <c r="BYX12" s="299"/>
      <c r="BYY12" s="299"/>
      <c r="BYZ12" s="299"/>
      <c r="BZA12" s="299"/>
      <c r="BZB12" s="299"/>
      <c r="BZC12" s="299"/>
      <c r="BZD12" s="299"/>
      <c r="BZE12" s="299"/>
      <c r="BZF12" s="299"/>
      <c r="BZG12" s="299"/>
      <c r="BZH12" s="299"/>
      <c r="BZI12" s="299"/>
      <c r="BZJ12" s="299"/>
      <c r="BZK12" s="299"/>
      <c r="BZL12" s="299"/>
      <c r="BZM12" s="299"/>
      <c r="BZN12" s="299"/>
      <c r="BZO12" s="299"/>
      <c r="BZP12" s="299"/>
      <c r="BZQ12" s="299"/>
      <c r="BZR12" s="299"/>
      <c r="BZS12" s="299"/>
      <c r="BZT12" s="299"/>
      <c r="BZU12" s="299"/>
      <c r="BZV12" s="299"/>
      <c r="BZW12" s="299"/>
      <c r="BZX12" s="299"/>
      <c r="BZY12" s="299"/>
      <c r="BZZ12" s="280"/>
      <c r="CAA12" s="281"/>
      <c r="CAB12" s="281"/>
      <c r="CAC12" s="282"/>
    </row>
    <row r="13" spans="1:67 2022:2057" ht="14.4" customHeight="1" x14ac:dyDescent="0.3">
      <c r="N13" s="544"/>
      <c r="BYT13" s="299"/>
      <c r="BYU13" s="299"/>
      <c r="BYV13" s="299"/>
      <c r="BYW13" s="299"/>
      <c r="BYX13" s="299"/>
      <c r="BYY13" s="299"/>
      <c r="BYZ13" s="299"/>
      <c r="BZA13" s="299"/>
      <c r="BZB13" s="299"/>
      <c r="BZC13" s="299"/>
      <c r="BZD13" s="299"/>
      <c r="BZE13" s="299"/>
      <c r="BZF13" s="299"/>
      <c r="BZG13" s="299"/>
      <c r="BZH13" s="299"/>
      <c r="BZI13" s="299"/>
      <c r="BZJ13" s="299"/>
      <c r="BZK13" s="299"/>
      <c r="BZL13" s="299"/>
      <c r="BZM13" s="299"/>
      <c r="BZN13" s="299"/>
      <c r="BZO13" s="299"/>
      <c r="BZP13" s="299"/>
      <c r="BZQ13" s="299"/>
      <c r="BZR13" s="299"/>
      <c r="BZS13" s="299"/>
      <c r="BZT13" s="299"/>
      <c r="BZU13" s="299"/>
      <c r="BZV13" s="299"/>
      <c r="BZW13" s="299"/>
      <c r="BZX13" s="299"/>
      <c r="BZY13" s="299"/>
      <c r="BZZ13" s="280"/>
      <c r="CAA13" s="281"/>
      <c r="CAB13" s="281"/>
      <c r="CAC13" s="282"/>
    </row>
    <row r="14" spans="1:67 2022:2057" s="372" customFormat="1" ht="14.4" hidden="1" customHeight="1" x14ac:dyDescent="0.3">
      <c r="J14" s="373"/>
      <c r="L14" s="557"/>
      <c r="M14" s="555"/>
      <c r="N14" s="544" t="s">
        <v>26</v>
      </c>
      <c r="AN14" s="374"/>
      <c r="AP14" s="618"/>
      <c r="BM14" s="375"/>
      <c r="BN14" s="375"/>
      <c r="BO14" s="375"/>
      <c r="BYT14" s="659"/>
      <c r="BYU14" s="659"/>
      <c r="BYV14" s="659"/>
      <c r="BYW14" s="659"/>
      <c r="BYX14" s="659"/>
      <c r="BYY14" s="659"/>
      <c r="BYZ14" s="659"/>
      <c r="BZA14" s="659"/>
      <c r="BZB14" s="659"/>
      <c r="BZC14" s="659"/>
      <c r="BZD14" s="659"/>
      <c r="BZE14" s="659"/>
      <c r="BZF14" s="659"/>
      <c r="BZG14" s="659"/>
      <c r="BZH14" s="659"/>
      <c r="BZI14" s="659"/>
      <c r="BZJ14" s="659"/>
      <c r="BZK14" s="659"/>
      <c r="BZL14" s="659"/>
      <c r="BZM14" s="659"/>
      <c r="BZN14" s="659"/>
      <c r="BZO14" s="659"/>
      <c r="BZP14" s="659"/>
      <c r="BZQ14" s="659"/>
      <c r="BZR14" s="659"/>
      <c r="BZS14" s="659"/>
      <c r="BZT14" s="659"/>
      <c r="BZU14" s="659"/>
      <c r="BZV14" s="659"/>
      <c r="BZW14" s="659"/>
      <c r="BZX14" s="659"/>
      <c r="BZY14" s="659"/>
      <c r="BZZ14" s="376"/>
      <c r="CAA14" s="377"/>
      <c r="CAB14" s="377"/>
      <c r="CAC14" s="378"/>
    </row>
    <row r="15" spans="1:67 2022:2057" ht="14.4" hidden="1" customHeight="1" x14ac:dyDescent="0.3">
      <c r="I15" s="1"/>
      <c r="N15" s="545" t="s">
        <v>27</v>
      </c>
      <c r="V15" s="5"/>
      <c r="W15" t="s">
        <v>28</v>
      </c>
      <c r="AE15" s="111">
        <f t="shared" ref="AE15:AK15" si="0">BZK64</f>
        <v>0</v>
      </c>
      <c r="AF15" s="111">
        <f t="shared" si="0"/>
        <v>1</v>
      </c>
      <c r="AG15" s="111">
        <f t="shared" si="0"/>
        <v>0</v>
      </c>
      <c r="AH15" s="111">
        <f t="shared" si="0"/>
        <v>0</v>
      </c>
      <c r="AI15" s="111">
        <f t="shared" si="0"/>
        <v>0</v>
      </c>
      <c r="AJ15" s="111">
        <f t="shared" si="0"/>
        <v>0</v>
      </c>
      <c r="AK15" s="111">
        <f t="shared" si="0"/>
        <v>0</v>
      </c>
      <c r="BYT15" s="299"/>
      <c r="BYU15" s="299"/>
      <c r="BYV15" s="299"/>
      <c r="BYW15" s="299"/>
      <c r="BYX15" s="299"/>
      <c r="BYY15" s="299">
        <f>BZK64</f>
        <v>0</v>
      </c>
      <c r="BYZ15" s="299">
        <f>BYY15</f>
        <v>0</v>
      </c>
      <c r="BZA15" s="299"/>
      <c r="BZB15" s="299"/>
      <c r="BZC15" s="299">
        <f>BZL64</f>
        <v>1</v>
      </c>
      <c r="BZD15" s="299">
        <f>BZC15</f>
        <v>1</v>
      </c>
      <c r="BZE15" s="299"/>
      <c r="BZF15" s="299"/>
      <c r="BZG15" s="299">
        <f>BZM64</f>
        <v>0</v>
      </c>
      <c r="BZH15" s="299">
        <f>BZG15</f>
        <v>0</v>
      </c>
      <c r="BZI15" s="299"/>
      <c r="BZJ15" s="299"/>
      <c r="BZK15" s="299">
        <f>BZN64</f>
        <v>0</v>
      </c>
      <c r="BZL15" s="299">
        <f>BZK15</f>
        <v>0</v>
      </c>
      <c r="BZM15" s="299"/>
      <c r="BZN15" s="299"/>
      <c r="BZO15" s="299">
        <f>BZO64</f>
        <v>0</v>
      </c>
      <c r="BZP15" s="299">
        <f>BZO15</f>
        <v>0</v>
      </c>
      <c r="BZQ15" s="299"/>
      <c r="BZR15" s="299"/>
      <c r="BZS15" s="299">
        <f>BZP64</f>
        <v>0</v>
      </c>
      <c r="BZT15" s="299">
        <f>BZS15</f>
        <v>0</v>
      </c>
      <c r="BZU15" s="299"/>
      <c r="BZV15" s="299"/>
      <c r="BZW15" s="299">
        <f>BZQ64</f>
        <v>0</v>
      </c>
      <c r="BZX15" s="299">
        <f>BZW15</f>
        <v>0</v>
      </c>
      <c r="BZY15" s="299"/>
      <c r="BZZ15" s="280"/>
      <c r="CAA15" s="281"/>
      <c r="CAB15" s="281"/>
      <c r="CAC15" s="282"/>
    </row>
    <row r="16" spans="1:67 2022:2057" ht="14.4" hidden="1" customHeight="1" x14ac:dyDescent="0.3">
      <c r="A16" s="17" t="s">
        <v>29</v>
      </c>
      <c r="B16" s="12" t="s">
        <v>30</v>
      </c>
      <c r="C16" s="12" t="s">
        <v>31</v>
      </c>
      <c r="D16" s="12" t="s">
        <v>32</v>
      </c>
      <c r="E16" s="12" t="s">
        <v>33</v>
      </c>
      <c r="F16" s="12" t="s">
        <v>34</v>
      </c>
      <c r="G16" s="12" t="s">
        <v>35</v>
      </c>
      <c r="H16" s="12"/>
      <c r="I16" s="12"/>
      <c r="J16" s="12"/>
      <c r="K16" s="4"/>
      <c r="L16" s="4"/>
      <c r="M16" s="4"/>
      <c r="N16" s="545" t="s">
        <v>36</v>
      </c>
      <c r="V16" s="5"/>
      <c r="W16" s="3" t="s">
        <v>29</v>
      </c>
      <c r="X16" s="4" t="s">
        <v>30</v>
      </c>
      <c r="Y16" s="4" t="s">
        <v>31</v>
      </c>
      <c r="Z16" s="4" t="s">
        <v>32</v>
      </c>
      <c r="AA16" s="4" t="s">
        <v>33</v>
      </c>
      <c r="AB16" s="4" t="s">
        <v>34</v>
      </c>
      <c r="AC16" s="4" t="s">
        <v>35</v>
      </c>
      <c r="AD16" s="4" t="s">
        <v>37</v>
      </c>
      <c r="AE16" s="79" t="s">
        <v>38</v>
      </c>
      <c r="AF16" s="2" t="s">
        <v>31</v>
      </c>
      <c r="AG16" s="2" t="s">
        <v>32</v>
      </c>
      <c r="AH16" s="2" t="s">
        <v>33</v>
      </c>
      <c r="AI16" s="2" t="s">
        <v>34</v>
      </c>
      <c r="AJ16" s="2" t="s">
        <v>35</v>
      </c>
      <c r="AK16" s="2" t="s">
        <v>39</v>
      </c>
      <c r="BYT16" s="299"/>
      <c r="BYU16" s="299"/>
      <c r="BYV16" s="299"/>
      <c r="BYW16" s="299"/>
      <c r="BYX16" s="299"/>
      <c r="BYY16" s="299"/>
      <c r="BYZ16" s="299"/>
      <c r="BZA16" s="299"/>
      <c r="BZB16" s="299"/>
      <c r="BZC16" s="299"/>
      <c r="BZD16" s="299"/>
      <c r="BZE16" s="299"/>
      <c r="BZF16" s="299"/>
      <c r="BZG16" s="299"/>
      <c r="BZH16" s="299"/>
      <c r="BZI16" s="299"/>
      <c r="BZJ16" s="299"/>
      <c r="BZK16" s="299"/>
      <c r="BZL16" s="299"/>
      <c r="BZM16" s="299"/>
      <c r="BZN16" s="299"/>
      <c r="BZO16" s="299"/>
      <c r="BZP16" s="299"/>
      <c r="BZQ16" s="299"/>
      <c r="BZR16" s="299"/>
      <c r="BZS16" s="299"/>
      <c r="BZT16" s="299"/>
      <c r="BZU16" s="299"/>
      <c r="BZV16" s="299"/>
      <c r="BZW16" s="299"/>
      <c r="BZX16" s="299"/>
      <c r="BZY16" s="299"/>
      <c r="BZZ16" s="280"/>
      <c r="CAA16" s="281"/>
      <c r="CAB16" s="281"/>
      <c r="CAC16" s="282"/>
    </row>
    <row r="17" spans="1:47 2022:2057" ht="14.4" hidden="1" customHeight="1" x14ac:dyDescent="0.3">
      <c r="A17" s="17"/>
      <c r="B17" s="12"/>
      <c r="C17" s="12"/>
      <c r="D17" s="12"/>
      <c r="E17" s="12"/>
      <c r="F17" s="12"/>
      <c r="G17" s="12"/>
      <c r="H17" s="12"/>
      <c r="I17" s="12"/>
      <c r="J17" s="12"/>
      <c r="K17" s="4"/>
      <c r="L17" s="4"/>
      <c r="M17" s="4"/>
      <c r="N17" s="545" t="s">
        <v>314</v>
      </c>
      <c r="V17" s="5"/>
      <c r="W17" s="3"/>
      <c r="X17" s="4"/>
      <c r="Y17" s="4"/>
      <c r="Z17" s="4"/>
      <c r="AA17" s="4"/>
      <c r="AB17" s="4"/>
      <c r="AC17" s="4"/>
      <c r="AD17" s="4"/>
      <c r="AE17" s="79"/>
      <c r="AF17" s="2"/>
      <c r="AG17" s="2"/>
      <c r="AH17" s="2"/>
      <c r="AI17" s="2"/>
      <c r="AJ17" s="2"/>
      <c r="AK17" s="2"/>
      <c r="BYT17" s="299"/>
      <c r="BYU17" s="299"/>
      <c r="BYV17" s="299"/>
      <c r="BYW17" s="299"/>
      <c r="BYX17" s="299"/>
      <c r="BYY17" s="299"/>
      <c r="BYZ17" s="299"/>
      <c r="BZA17" s="299"/>
      <c r="BZB17" s="299"/>
      <c r="BZC17" s="299"/>
      <c r="BZD17" s="299"/>
      <c r="BZE17" s="299"/>
      <c r="BZF17" s="299"/>
      <c r="BZG17" s="299"/>
      <c r="BZH17" s="299"/>
      <c r="BZI17" s="299"/>
      <c r="BZJ17" s="299"/>
      <c r="BZK17" s="299"/>
      <c r="BZL17" s="299"/>
      <c r="BZM17" s="299"/>
      <c r="BZN17" s="299"/>
      <c r="BZO17" s="299"/>
      <c r="BZP17" s="299"/>
      <c r="BZQ17" s="299"/>
      <c r="BZR17" s="299"/>
      <c r="BZS17" s="299"/>
      <c r="BZT17" s="299"/>
      <c r="BZU17" s="299"/>
      <c r="BZV17" s="299"/>
      <c r="BZW17" s="299"/>
      <c r="BZX17" s="299"/>
      <c r="BZY17" s="299"/>
      <c r="BZZ17" s="280"/>
      <c r="CAA17" s="281"/>
      <c r="CAB17" s="281"/>
      <c r="CAC17" s="282"/>
    </row>
    <row r="18" spans="1:47 2022:2057" ht="14.4" hidden="1" customHeight="1" x14ac:dyDescent="0.3">
      <c r="A18" s="17"/>
      <c r="B18" s="12"/>
      <c r="C18" s="12"/>
      <c r="D18" s="12"/>
      <c r="E18" s="12"/>
      <c r="F18" s="12"/>
      <c r="G18" s="12"/>
      <c r="H18" s="12"/>
      <c r="I18" s="12"/>
      <c r="J18" s="12"/>
      <c r="K18" s="4"/>
      <c r="L18" s="4"/>
      <c r="M18" s="4"/>
      <c r="N18" s="546" t="s">
        <v>40</v>
      </c>
      <c r="V18" s="5"/>
      <c r="W18" s="3"/>
      <c r="X18" s="4"/>
      <c r="Y18" s="4"/>
      <c r="Z18" s="4"/>
      <c r="AA18" s="4"/>
      <c r="AB18" s="4"/>
      <c r="AC18" s="4"/>
      <c r="AD18" s="4"/>
      <c r="AE18" s="79"/>
      <c r="AF18" s="2"/>
      <c r="AG18" s="2"/>
      <c r="AH18" s="2"/>
      <c r="AI18" s="2"/>
      <c r="AJ18" s="2"/>
      <c r="AK18" s="2"/>
      <c r="BYT18" s="299"/>
      <c r="BYU18" s="299"/>
      <c r="BYV18" s="299"/>
      <c r="BYW18" s="299"/>
      <c r="BYX18" s="299"/>
      <c r="BYY18" s="299"/>
      <c r="BYZ18" s="299"/>
      <c r="BZA18" s="299"/>
      <c r="BZB18" s="299"/>
      <c r="BZC18" s="299"/>
      <c r="BZD18" s="299"/>
      <c r="BZE18" s="299"/>
      <c r="BZF18" s="299"/>
      <c r="BZG18" s="299"/>
      <c r="BZH18" s="299"/>
      <c r="BZI18" s="299"/>
      <c r="BZJ18" s="299"/>
      <c r="BZK18" s="299"/>
      <c r="BZL18" s="299"/>
      <c r="BZM18" s="299"/>
      <c r="BZN18" s="299"/>
      <c r="BZO18" s="299"/>
      <c r="BZP18" s="299"/>
      <c r="BZQ18" s="299"/>
      <c r="BZR18" s="299"/>
      <c r="BZS18" s="299"/>
      <c r="BZT18" s="299"/>
      <c r="BZU18" s="299"/>
      <c r="BZV18" s="299"/>
      <c r="BZW18" s="299"/>
      <c r="BZX18" s="299"/>
      <c r="BZY18" s="299"/>
      <c r="BZZ18" s="280"/>
      <c r="CAA18" s="281"/>
      <c r="CAB18" s="281"/>
      <c r="CAC18" s="282"/>
    </row>
    <row r="19" spans="1:47 2022:2057" ht="14.4" hidden="1" customHeight="1" x14ac:dyDescent="0.35">
      <c r="A19" s="17"/>
      <c r="B19" s="12"/>
      <c r="C19" s="12"/>
      <c r="D19" s="12"/>
      <c r="E19" s="12"/>
      <c r="F19" s="12"/>
      <c r="G19" s="12"/>
      <c r="H19" s="12"/>
      <c r="I19" s="12"/>
      <c r="J19" s="235" t="e">
        <f>BZJ53</f>
        <v>#N/A</v>
      </c>
      <c r="K19" s="4"/>
      <c r="L19" s="4"/>
      <c r="M19" s="4"/>
      <c r="N19" s="545" t="s">
        <v>41</v>
      </c>
      <c r="V19" s="5"/>
      <c r="W19" s="3"/>
      <c r="X19" s="4"/>
      <c r="Y19" s="4"/>
      <c r="Z19" s="4"/>
      <c r="AA19" s="4"/>
      <c r="AB19" s="4"/>
      <c r="AC19" s="4"/>
      <c r="AD19" s="4"/>
      <c r="AE19" s="79"/>
      <c r="AF19" s="2"/>
      <c r="AG19" s="2"/>
      <c r="AH19" s="2"/>
      <c r="AI19" s="2"/>
      <c r="AJ19" s="2"/>
      <c r="AK19" s="2"/>
      <c r="AN19" s="17">
        <v>0</v>
      </c>
      <c r="AO19" s="1"/>
      <c r="AP19" s="619">
        <v>100</v>
      </c>
      <c r="BYT19" s="299"/>
      <c r="BYU19" s="299"/>
      <c r="BYV19" s="299"/>
      <c r="BYW19" s="299"/>
      <c r="BYX19" s="299"/>
      <c r="BYY19" s="299"/>
      <c r="BYZ19" s="299"/>
      <c r="BZA19" s="299"/>
      <c r="BZB19" s="299"/>
      <c r="BZC19" s="299"/>
      <c r="BZD19" s="299"/>
      <c r="BZE19" s="299"/>
      <c r="BZF19" s="299"/>
      <c r="BZG19" s="299"/>
      <c r="BZH19" s="299"/>
      <c r="BZI19" s="299"/>
      <c r="BZJ19" s="299"/>
      <c r="BZK19" s="299"/>
      <c r="BZL19" s="299"/>
      <c r="BZM19" s="299"/>
      <c r="BZN19" s="299"/>
      <c r="BZO19" s="299"/>
      <c r="BZP19" s="299"/>
      <c r="BZQ19" s="299"/>
      <c r="BZR19" s="299"/>
      <c r="BZS19" s="299"/>
      <c r="BZT19" s="299"/>
      <c r="BZU19" s="299"/>
      <c r="BZV19" s="299"/>
      <c r="BZW19" s="299"/>
      <c r="BZX19" s="299"/>
      <c r="BZY19" s="299"/>
      <c r="BZZ19" s="280"/>
      <c r="CAA19" s="281"/>
      <c r="CAB19" s="281"/>
      <c r="CAC19" s="282"/>
    </row>
    <row r="20" spans="1:47 2022:2057" hidden="1" x14ac:dyDescent="0.3">
      <c r="A20" s="298"/>
      <c r="B20" s="299"/>
      <c r="C20" s="299"/>
      <c r="D20" s="299"/>
      <c r="E20" s="299"/>
      <c r="F20" s="299"/>
      <c r="G20" s="299"/>
      <c r="H20" s="299"/>
      <c r="I20" s="299"/>
      <c r="J20" s="232" t="str">
        <f>'print Basis'!$G$10&amp;" "&amp;'print Basis'!G8</f>
        <v>invoer Basis Projectnaam</v>
      </c>
      <c r="K20" s="4"/>
      <c r="L20" s="4"/>
      <c r="M20" s="4"/>
      <c r="N20" s="547" t="s">
        <v>42</v>
      </c>
      <c r="V20" s="5"/>
      <c r="W20" s="3"/>
      <c r="X20" s="110">
        <f t="shared" ref="X20:AD20" si="1">BZK64</f>
        <v>0</v>
      </c>
      <c r="Y20" s="110">
        <f t="shared" si="1"/>
        <v>1</v>
      </c>
      <c r="Z20" s="110">
        <f t="shared" si="1"/>
        <v>0</v>
      </c>
      <c r="AA20" s="110">
        <f t="shared" si="1"/>
        <v>0</v>
      </c>
      <c r="AB20" s="110">
        <f t="shared" si="1"/>
        <v>0</v>
      </c>
      <c r="AC20" s="110">
        <f t="shared" si="1"/>
        <v>0</v>
      </c>
      <c r="AD20" s="110">
        <f t="shared" si="1"/>
        <v>0</v>
      </c>
      <c r="AE20" s="79" t="s">
        <v>43</v>
      </c>
      <c r="AF20" s="2"/>
      <c r="AG20" s="2"/>
      <c r="AH20" s="2"/>
      <c r="AI20" s="2"/>
      <c r="AJ20" s="2"/>
      <c r="BYT20" s="299"/>
      <c r="BYU20" s="299"/>
      <c r="BYV20" s="299"/>
      <c r="BYW20" s="299"/>
      <c r="BYX20" s="299"/>
      <c r="BYY20" s="299"/>
      <c r="BYZ20" s="299"/>
      <c r="BZA20" s="299"/>
      <c r="BZB20" s="299"/>
      <c r="BZC20" s="299"/>
      <c r="BZD20" s="299"/>
      <c r="BZE20" s="299"/>
      <c r="BZF20" s="299"/>
      <c r="BZG20" s="299"/>
      <c r="BZH20" s="299"/>
      <c r="BZI20" s="299"/>
      <c r="BZJ20" s="299"/>
      <c r="BZK20" s="299"/>
      <c r="BZL20" s="299"/>
      <c r="BZM20" s="299"/>
      <c r="BZN20" s="299"/>
      <c r="BZO20" s="299"/>
      <c r="BZP20" s="299"/>
      <c r="BZQ20" s="299"/>
      <c r="BZR20" s="299"/>
      <c r="BZS20" s="299"/>
      <c r="BZT20" s="299"/>
      <c r="BZU20" s="299"/>
      <c r="BZV20" s="299"/>
      <c r="BZW20" s="299"/>
      <c r="BZX20" s="299"/>
      <c r="BZY20" s="299"/>
      <c r="BZZ20" s="280"/>
      <c r="CAA20" s="281"/>
      <c r="CAB20" s="281"/>
      <c r="CAC20" s="282"/>
    </row>
    <row r="21" spans="1:47 2022:2057" ht="25.8" x14ac:dyDescent="0.5">
      <c r="A21" s="299"/>
      <c r="B21" s="300">
        <f>SUM(B41,B38,B36,B34,B31,B27,B25,B23)</f>
        <v>1</v>
      </c>
      <c r="C21" s="300">
        <f t="shared" ref="C21:G21" si="2">SUM(C41,C38,C36,C34,C31,C27,C25,C23)</f>
        <v>1</v>
      </c>
      <c r="D21" s="300">
        <f t="shared" si="2"/>
        <v>1</v>
      </c>
      <c r="E21" s="300">
        <f t="shared" si="2"/>
        <v>1</v>
      </c>
      <c r="F21" s="300">
        <f t="shared" si="2"/>
        <v>1</v>
      </c>
      <c r="G21" s="300">
        <f t="shared" si="2"/>
        <v>1</v>
      </c>
      <c r="H21" s="300"/>
      <c r="I21" s="300"/>
      <c r="J21" s="13"/>
      <c r="K21" s="564"/>
      <c r="L21" s="565" t="str">
        <f>'print Basis'!G8</f>
        <v>Projectnaam</v>
      </c>
      <c r="M21" s="565"/>
      <c r="N21" s="566" t="str">
        <f>"Gerealiseerd circulair doel per ontwerpprincipe in de " &amp; N8</f>
        <v>Gerealiseerd circulair doel per ontwerpprincipe in de verkenningsfase</v>
      </c>
      <c r="O21" s="567"/>
      <c r="P21" s="567"/>
      <c r="Q21" s="567"/>
      <c r="R21" s="567"/>
      <c r="S21" s="567"/>
      <c r="T21" s="567"/>
      <c r="U21" s="567"/>
      <c r="V21" s="568"/>
      <c r="W21" s="569"/>
      <c r="X21" s="570">
        <f>SUM(X41,X38,X36,X34,X31,X27,X25,X23)</f>
        <v>1</v>
      </c>
      <c r="Y21" s="570">
        <f t="shared" ref="Y21:AD21" si="3">SUM(Y41,Y38,Y36,Y34,Y31,Y27,Y25,Y23)</f>
        <v>1.0000000000000002</v>
      </c>
      <c r="Z21" s="570">
        <f t="shared" si="3"/>
        <v>1</v>
      </c>
      <c r="AA21" s="570">
        <f t="shared" si="3"/>
        <v>1</v>
      </c>
      <c r="AB21" s="570">
        <f t="shared" si="3"/>
        <v>1.0000000000000002</v>
      </c>
      <c r="AC21" s="570">
        <f t="shared" si="3"/>
        <v>1</v>
      </c>
      <c r="AD21" s="570">
        <f t="shared" si="3"/>
        <v>1</v>
      </c>
      <c r="AE21" s="571">
        <v>100</v>
      </c>
      <c r="AF21" s="572"/>
      <c r="AG21" s="572"/>
      <c r="AH21" s="572"/>
      <c r="AI21" s="572"/>
      <c r="AJ21" s="572"/>
      <c r="AK21" s="572"/>
      <c r="AL21" s="573" t="str">
        <f>'print D1'!G10</f>
        <v>D1</v>
      </c>
      <c r="AM21" s="567"/>
      <c r="AN21" s="574" t="s">
        <v>44</v>
      </c>
      <c r="AO21" s="645" t="e">
        <f>1-AP21</f>
        <v>#VALUE!</v>
      </c>
      <c r="AP21" s="775" t="str">
        <f>IF(M22=12,SUM(AP23:AP42)+AP44,"-")</f>
        <v>-</v>
      </c>
      <c r="AR21" s="646" t="s">
        <v>318</v>
      </c>
      <c r="BYT21" s="299"/>
      <c r="BYU21" s="299"/>
      <c r="BYV21" s="299"/>
      <c r="BYW21" s="299"/>
      <c r="BYX21" s="299"/>
      <c r="BYY21" s="299"/>
      <c r="BYZ21" s="299"/>
      <c r="BZA21" s="299"/>
      <c r="BZB21" s="299"/>
      <c r="BZC21" s="299"/>
      <c r="BZD21" s="299"/>
      <c r="BZE21" s="299"/>
      <c r="BZF21" s="299"/>
      <c r="BZG21" s="299"/>
      <c r="BZH21" s="299"/>
      <c r="BZI21" s="299"/>
      <c r="BZJ21" s="299"/>
      <c r="BZK21" s="299"/>
      <c r="BZL21" s="299"/>
      <c r="BZM21" s="299"/>
      <c r="BZN21" s="299"/>
      <c r="BZO21" s="299"/>
      <c r="BZP21" s="299"/>
      <c r="BZQ21" s="299"/>
      <c r="BZR21" s="299"/>
      <c r="BZS21" s="299"/>
      <c r="BZT21" s="299"/>
      <c r="BZU21" s="299"/>
      <c r="BZV21" s="299"/>
      <c r="BZW21" s="299"/>
      <c r="BZX21" s="299"/>
      <c r="BZY21" s="299"/>
      <c r="BZZ21" s="280"/>
      <c r="CAA21" s="281"/>
      <c r="CAB21" s="281"/>
      <c r="CAC21" s="282"/>
    </row>
    <row r="22" spans="1:47 2022:2057" ht="49.2" customHeight="1" x14ac:dyDescent="0.55000000000000004">
      <c r="A22" s="12"/>
      <c r="B22" s="14">
        <f>(1/8)*SUM(B24,B26,B28,B29,B30,B32,B33,B35,B37,B39,B40,B42)</f>
        <v>1</v>
      </c>
      <c r="C22" s="14">
        <f t="shared" ref="C22:G22" si="4">(1/8)*SUM(C24,C26,C28,C29,C30,C32,C33,C35,C37,C39,C40,C42)</f>
        <v>1</v>
      </c>
      <c r="D22" s="14">
        <f t="shared" si="4"/>
        <v>1</v>
      </c>
      <c r="E22" s="14">
        <f t="shared" si="4"/>
        <v>1</v>
      </c>
      <c r="F22" s="14">
        <f t="shared" si="4"/>
        <v>1</v>
      </c>
      <c r="G22" s="14">
        <f t="shared" si="4"/>
        <v>1</v>
      </c>
      <c r="H22" s="14"/>
      <c r="I22" s="14"/>
      <c r="J22" s="14"/>
      <c r="K22" s="575"/>
      <c r="L22" s="576" t="s">
        <v>45</v>
      </c>
      <c r="M22" s="748">
        <f>COUNTA(N24,N26,N28,N29,N30,N32,N33,N35,N37,N39,N40,N42)</f>
        <v>0</v>
      </c>
      <c r="N22" s="577"/>
      <c r="O22" s="167"/>
      <c r="P22" s="167"/>
      <c r="Q22" s="167"/>
      <c r="R22" s="167"/>
      <c r="S22" s="167"/>
      <c r="T22" s="167"/>
      <c r="U22" s="167"/>
      <c r="V22" s="578"/>
      <c r="W22" s="579"/>
      <c r="X22" s="580">
        <f>(1/8)*SUM(X24,X26,X28,X29,X30,X32,X33,X35,X37,X39,X40,X42)</f>
        <v>1</v>
      </c>
      <c r="Y22" s="580">
        <f t="shared" ref="Y22:AD22" si="5">(1/8)*SUM(Y24,Y26,Y28,Y29,Y30,Y32,Y33,Y35,Y37,Y39,Y40,Y42)</f>
        <v>1</v>
      </c>
      <c r="Z22" s="580">
        <f t="shared" si="5"/>
        <v>1</v>
      </c>
      <c r="AA22" s="580">
        <f t="shared" si="5"/>
        <v>1</v>
      </c>
      <c r="AB22" s="580">
        <f t="shared" si="5"/>
        <v>1</v>
      </c>
      <c r="AC22" s="580">
        <f t="shared" si="5"/>
        <v>1</v>
      </c>
      <c r="AD22" s="580">
        <f t="shared" si="5"/>
        <v>1</v>
      </c>
      <c r="AE22" s="581">
        <v>0</v>
      </c>
      <c r="AF22" s="582">
        <v>25</v>
      </c>
      <c r="AG22" s="582">
        <v>50</v>
      </c>
      <c r="AH22" s="582">
        <v>75</v>
      </c>
      <c r="AI22" s="582">
        <v>100</v>
      </c>
      <c r="AJ22" s="583"/>
      <c r="AK22" s="583"/>
      <c r="AL22" s="584" t="s">
        <v>46</v>
      </c>
      <c r="AM22" s="167"/>
      <c r="AN22" s="585" t="s">
        <v>47</v>
      </c>
      <c r="AO22" s="167"/>
      <c r="AP22" s="620" t="s">
        <v>48</v>
      </c>
      <c r="BYT22" s="299"/>
      <c r="BYU22" s="299"/>
      <c r="BYV22" s="299"/>
      <c r="BYW22" s="299"/>
      <c r="BYX22" s="299"/>
      <c r="BYY22" s="299"/>
      <c r="BYZ22" s="299"/>
      <c r="BZA22" s="299"/>
      <c r="BZB22" s="299"/>
      <c r="BZC22" s="299"/>
      <c r="BZD22" s="299"/>
      <c r="BZE22" s="299"/>
      <c r="BZF22" s="299"/>
      <c r="BZG22" s="299"/>
      <c r="BZH22" s="299"/>
      <c r="BZI22" s="299"/>
      <c r="BZJ22" s="299"/>
      <c r="BZK22" s="299"/>
      <c r="BZL22" s="299"/>
      <c r="BZM22" s="299"/>
      <c r="BZN22" s="299"/>
      <c r="BZO22" s="299"/>
      <c r="BZP22" s="299"/>
      <c r="BZQ22" s="299"/>
      <c r="BZR22" s="299"/>
      <c r="BZS22" s="299"/>
      <c r="BZT22" s="299"/>
      <c r="BZU22" s="299"/>
      <c r="BZV22" s="299"/>
      <c r="BZW22" s="299"/>
      <c r="BZX22" s="299"/>
      <c r="BZY22" s="299"/>
      <c r="BZZ22" s="280"/>
      <c r="CAA22" s="281"/>
      <c r="CAB22" s="281" t="e">
        <f>BZJ53</f>
        <v>#N/A</v>
      </c>
      <c r="CAC22" s="282"/>
    </row>
    <row r="23" spans="1:47 2022:2057" ht="21" customHeight="1" x14ac:dyDescent="0.4">
      <c r="A23" s="12"/>
      <c r="B23" s="15">
        <v>0.2</v>
      </c>
      <c r="C23" s="15">
        <v>0.15</v>
      </c>
      <c r="D23" s="15">
        <v>0.15</v>
      </c>
      <c r="E23" s="15">
        <v>0.15</v>
      </c>
      <c r="F23" s="15">
        <v>0.05</v>
      </c>
      <c r="G23" s="15">
        <v>0.01</v>
      </c>
      <c r="H23" s="15"/>
      <c r="I23" s="15"/>
      <c r="J23" s="15"/>
      <c r="K23" s="558">
        <v>1</v>
      </c>
      <c r="L23" s="559" t="s">
        <v>49</v>
      </c>
      <c r="M23" s="560"/>
      <c r="N23" s="561"/>
      <c r="O23" s="20"/>
      <c r="P23" s="20"/>
      <c r="Q23" s="20"/>
      <c r="R23" s="20"/>
      <c r="S23" s="20"/>
      <c r="T23" s="20"/>
      <c r="U23" s="20">
        <v>1</v>
      </c>
      <c r="V23" s="128"/>
      <c r="W23" s="7">
        <f t="shared" ref="W23:W42" si="6">X23*$X$20+Y23*$Y$20+Z23*$Z$20+AA23*$AA$20+AB23*$AB$20+AC23*$AC$20+AD23*$AD$20</f>
        <v>0.27</v>
      </c>
      <c r="X23" s="21">
        <f>'info weging'!B8</f>
        <v>0.3</v>
      </c>
      <c r="Y23" s="21">
        <f>'info weging'!C8</f>
        <v>0.27</v>
      </c>
      <c r="Z23" s="21">
        <f>'info weging'!D8</f>
        <v>0.15</v>
      </c>
      <c r="AA23" s="21">
        <f>'info weging'!E8</f>
        <v>0.15</v>
      </c>
      <c r="AB23" s="21">
        <f>'info weging'!F8</f>
        <v>0.05</v>
      </c>
      <c r="AC23" s="21">
        <f>'info weging'!G8</f>
        <v>0.01</v>
      </c>
      <c r="AD23" s="21">
        <f>'info weging'!H8</f>
        <v>0.125</v>
      </c>
      <c r="AE23" s="104"/>
      <c r="AF23" s="58"/>
      <c r="AG23" s="58"/>
      <c r="AH23" s="58"/>
      <c r="AI23" s="58"/>
      <c r="AJ23" s="59"/>
      <c r="AK23" s="59"/>
      <c r="AL23" s="562"/>
      <c r="AM23" s="20"/>
      <c r="AN23" s="201">
        <f>'print Basis'!P18</f>
        <v>0.27</v>
      </c>
      <c r="AO23" s="20"/>
      <c r="AP23" s="621" t="e">
        <f>AN23*(AL24*AN24)</f>
        <v>#VALUE!</v>
      </c>
      <c r="AR23" s="20"/>
      <c r="BYT23" s="299"/>
      <c r="BYU23" s="299"/>
      <c r="BYV23" s="299"/>
      <c r="BYW23" s="299"/>
      <c r="BYX23" s="299" t="s">
        <v>50</v>
      </c>
      <c r="BYY23" s="299" t="e">
        <f>"berekening CP="&amp;N49</f>
        <v>#N/A</v>
      </c>
      <c r="BYZ23" s="299" t="s">
        <v>51</v>
      </c>
      <c r="BZA23" s="299"/>
      <c r="BZB23" s="299" t="s">
        <v>31</v>
      </c>
      <c r="BZC23" s="299" t="s">
        <v>52</v>
      </c>
      <c r="BZD23" s="299" t="s">
        <v>53</v>
      </c>
      <c r="BZE23" s="299"/>
      <c r="BZF23" s="299" t="s">
        <v>32</v>
      </c>
      <c r="BZG23" s="299" t="s">
        <v>52</v>
      </c>
      <c r="BZH23" s="299" t="s">
        <v>54</v>
      </c>
      <c r="BZI23" s="299"/>
      <c r="BZJ23" s="299" t="s">
        <v>33</v>
      </c>
      <c r="BZK23" s="299" t="s">
        <v>52</v>
      </c>
      <c r="BZL23" s="299" t="s">
        <v>55</v>
      </c>
      <c r="BZM23" s="299"/>
      <c r="BZN23" s="299" t="s">
        <v>34</v>
      </c>
      <c r="BZO23" s="299" t="s">
        <v>52</v>
      </c>
      <c r="BZP23" s="299" t="s">
        <v>56</v>
      </c>
      <c r="BZQ23" s="299"/>
      <c r="BZR23" s="299" t="s">
        <v>35</v>
      </c>
      <c r="BZS23" s="299" t="s">
        <v>52</v>
      </c>
      <c r="BZT23" s="299" t="s">
        <v>57</v>
      </c>
      <c r="BZU23" s="299"/>
      <c r="BZV23" s="299" t="str">
        <f>AK16</f>
        <v>eigen waarde</v>
      </c>
      <c r="BZW23" s="299" t="s">
        <v>52</v>
      </c>
      <c r="BZX23" s="299" t="s">
        <v>58</v>
      </c>
      <c r="BZY23" s="299"/>
      <c r="BZZ23" s="280"/>
      <c r="CAA23" s="281"/>
      <c r="CAB23" s="281" t="str">
        <f>N7</f>
        <v>D1</v>
      </c>
      <c r="CAC23" s="282" t="s">
        <v>59</v>
      </c>
    </row>
    <row r="24" spans="1:47 2022:2057" ht="88.2" customHeight="1" x14ac:dyDescent="0.4">
      <c r="A24" s="12"/>
      <c r="B24" s="16">
        <v>1</v>
      </c>
      <c r="C24" s="16">
        <v>1</v>
      </c>
      <c r="D24" s="16">
        <v>1</v>
      </c>
      <c r="E24" s="16">
        <v>1</v>
      </c>
      <c r="F24" s="16">
        <v>1</v>
      </c>
      <c r="G24" s="16">
        <v>1</v>
      </c>
      <c r="H24" s="16"/>
      <c r="I24" s="16"/>
      <c r="J24" s="16"/>
      <c r="K24" s="452" t="s">
        <v>60</v>
      </c>
      <c r="L24" s="549" t="s">
        <v>61</v>
      </c>
      <c r="M24" s="551" t="str">
        <f>IF(N24="","         klik hier op linkermuisknop + selecteer via het pull down menu het gerealiseerd circulaire doel","")</f>
        <v xml:space="preserve">         klik hier op linkermuisknop + selecteer via het pull down menu het gerealiseerd circulaire doel</v>
      </c>
      <c r="N24" s="210"/>
      <c r="O24" s="20"/>
      <c r="P24" s="20"/>
      <c r="Q24" s="20"/>
      <c r="R24" s="20"/>
      <c r="S24" s="20"/>
      <c r="T24" s="20"/>
      <c r="U24" s="20"/>
      <c r="V24" s="128"/>
      <c r="W24" s="7">
        <f t="shared" si="6"/>
        <v>1</v>
      </c>
      <c r="X24" s="24">
        <f>'info weging'!B9</f>
        <v>1</v>
      </c>
      <c r="Y24" s="24">
        <f>'info weging'!C9</f>
        <v>1</v>
      </c>
      <c r="Z24" s="24">
        <f>'info weging'!D9</f>
        <v>1</v>
      </c>
      <c r="AA24" s="24">
        <f>'info weging'!E9</f>
        <v>1</v>
      </c>
      <c r="AB24" s="24">
        <f>'info weging'!F9</f>
        <v>1</v>
      </c>
      <c r="AC24" s="25">
        <f>'info weging'!G9</f>
        <v>1</v>
      </c>
      <c r="AD24" s="25">
        <f>'info weging'!H9</f>
        <v>1</v>
      </c>
      <c r="AE24" s="97" t="e">
        <f>VLOOKUP(N24,'info weging'!$A$36:$H$163,2,FALSE)</f>
        <v>#N/A</v>
      </c>
      <c r="AF24" s="8" t="e">
        <f>VLOOKUP(N24,'info weging'!$A$36:$H$163,3,FALSE)</f>
        <v>#N/A</v>
      </c>
      <c r="AG24" s="8" t="e">
        <f>VLOOKUP(N24,'info weging'!$A$36:$H$163,4,FALSE)</f>
        <v>#N/A</v>
      </c>
      <c r="AH24" s="8" t="e">
        <f>VLOOKUP(N24,'info weging'!$A$36:$H$163,5,FALSE)</f>
        <v>#N/A</v>
      </c>
      <c r="AI24" s="8" t="e">
        <f>VLOOKUP(N24,'info weging'!$A$36:$H$163,6,FALSE)</f>
        <v>#N/A</v>
      </c>
      <c r="AJ24" s="9" t="e">
        <f>VLOOKUP(N24,'info weging'!$A$36:$H$163,7,FALSE)</f>
        <v>#N/A</v>
      </c>
      <c r="AK24" s="9" t="e">
        <f>VLOOKUP(N24,'info weging'!$A$36:$H$163,8,FALSE)</f>
        <v>#N/A</v>
      </c>
      <c r="AL24" s="260" t="str">
        <f>IF(COUNTA(N24)=1,AE24*$AE$15+AF24*$AF$15+AG24*$AG$15+AH24*$AH$15+AI24*$AI$15+AJ24*$AJ$15+AK24*$AK$15,"----")</f>
        <v>----</v>
      </c>
      <c r="AM24" s="128"/>
      <c r="AN24" s="127">
        <f>'print Basis'!P19</f>
        <v>1</v>
      </c>
      <c r="AO24" s="128"/>
      <c r="AP24" s="622"/>
      <c r="AQ24" s="5"/>
      <c r="AR24" s="778"/>
      <c r="AS24" s="20"/>
      <c r="AT24" s="20"/>
      <c r="AU24" s="20"/>
      <c r="BYT24" s="299"/>
      <c r="BYU24" s="299"/>
      <c r="BYV24" s="665" t="s">
        <v>63</v>
      </c>
      <c r="BYW24" s="661" t="s">
        <v>60</v>
      </c>
      <c r="BYX24" s="661" t="s">
        <v>64</v>
      </c>
      <c r="BYY24" s="666" t="e">
        <f>AE24*X23*X24</f>
        <v>#N/A</v>
      </c>
      <c r="BYZ24" s="666">
        <f>100*X24*X23</f>
        <v>30</v>
      </c>
      <c r="BZA24" s="660"/>
      <c r="BZB24" s="661" t="s">
        <v>64</v>
      </c>
      <c r="BZC24" s="666" t="e">
        <f>AF24*Y23*Y24</f>
        <v>#N/A</v>
      </c>
      <c r="BZD24" s="666">
        <f>100*Y24*Y23</f>
        <v>27</v>
      </c>
      <c r="BZE24" s="660"/>
      <c r="BZF24" s="661" t="s">
        <v>64</v>
      </c>
      <c r="BZG24" s="666" t="e">
        <f>AG24*Z23*Z24</f>
        <v>#N/A</v>
      </c>
      <c r="BZH24" s="666">
        <f>100*Z24*Z23</f>
        <v>15</v>
      </c>
      <c r="BZI24" s="660"/>
      <c r="BZJ24" s="661" t="s">
        <v>64</v>
      </c>
      <c r="BZK24" s="666" t="e">
        <f>AH24*AA23*AA24</f>
        <v>#N/A</v>
      </c>
      <c r="BZL24" s="666">
        <f>100*AA24*AA23</f>
        <v>15</v>
      </c>
      <c r="BZM24" s="660"/>
      <c r="BZN24" s="661" t="s">
        <v>64</v>
      </c>
      <c r="BZO24" s="666" t="e">
        <f>AI24*AB23*AB24</f>
        <v>#N/A</v>
      </c>
      <c r="BZP24" s="666">
        <f>100*G24*G23</f>
        <v>1</v>
      </c>
      <c r="BZQ24" s="660"/>
      <c r="BZR24" s="661" t="s">
        <v>64</v>
      </c>
      <c r="BZS24" s="661" t="e">
        <f>AJ24*AC23*AC24</f>
        <v>#N/A</v>
      </c>
      <c r="BZT24" s="661">
        <f>100*AC24*AC23</f>
        <v>1</v>
      </c>
      <c r="BZU24" s="299"/>
      <c r="BZV24" s="661" t="s">
        <v>64</v>
      </c>
      <c r="BZW24" s="661" t="e">
        <f>AK24*AD24*AD23</f>
        <v>#N/A</v>
      </c>
      <c r="BZX24" s="661">
        <f>100*AD24*AD23</f>
        <v>12.5</v>
      </c>
      <c r="BZY24" s="299"/>
      <c r="BZZ24" s="280"/>
      <c r="CAA24" s="281" t="str">
        <f>BZV24</f>
        <v>verklein opgave</v>
      </c>
      <c r="CAB24" s="283" t="e">
        <f t="shared" ref="CAB24:CAC35" si="7">BYY24*$BYY$15+BZC24*$BZC$15+BZG24*$BZG$15+BZK24*$BZK$15+BZO24*$BZO$15+BZS24*$BZS$15+BZW24*$BZW$15</f>
        <v>#N/A</v>
      </c>
      <c r="CAC24" s="284">
        <f t="shared" si="7"/>
        <v>27</v>
      </c>
    </row>
    <row r="25" spans="1:47 2022:2057" ht="21" customHeight="1" x14ac:dyDescent="0.4">
      <c r="A25" s="12"/>
      <c r="B25" s="15">
        <v>0.17</v>
      </c>
      <c r="C25" s="15">
        <v>0.15</v>
      </c>
      <c r="D25" s="15">
        <v>0.15</v>
      </c>
      <c r="E25" s="15">
        <v>0.12</v>
      </c>
      <c r="F25" s="15">
        <v>0.125</v>
      </c>
      <c r="G25" s="15">
        <v>0.2</v>
      </c>
      <c r="H25" s="15"/>
      <c r="I25" s="15"/>
      <c r="J25" s="15"/>
      <c r="K25" s="89">
        <v>2</v>
      </c>
      <c r="L25" s="95" t="s">
        <v>65</v>
      </c>
      <c r="M25" s="91"/>
      <c r="N25" s="238"/>
      <c r="O25" s="20"/>
      <c r="P25" s="20"/>
      <c r="Q25" s="20"/>
      <c r="R25" s="20"/>
      <c r="S25" s="20"/>
      <c r="T25" s="20"/>
      <c r="U25" s="20">
        <v>2</v>
      </c>
      <c r="V25" s="128"/>
      <c r="W25" s="7">
        <f t="shared" si="6"/>
        <v>7.0000000000000007E-2</v>
      </c>
      <c r="X25" s="22">
        <f>'info weging'!B10</f>
        <v>0.25</v>
      </c>
      <c r="Y25" s="22">
        <f>'info weging'!C10</f>
        <v>7.0000000000000007E-2</v>
      </c>
      <c r="Z25" s="22">
        <f>'info weging'!D10</f>
        <v>7.0000000000000007E-2</v>
      </c>
      <c r="AA25" s="22">
        <f>'info weging'!E10</f>
        <v>0.05</v>
      </c>
      <c r="AB25" s="22">
        <f>'info weging'!F10</f>
        <v>0.05</v>
      </c>
      <c r="AC25" s="23">
        <f>'info weging'!G10</f>
        <v>0.25</v>
      </c>
      <c r="AD25" s="23">
        <f>'info weging'!H10</f>
        <v>0.125</v>
      </c>
      <c r="AE25" s="90"/>
      <c r="AF25" s="60"/>
      <c r="AG25" s="60"/>
      <c r="AH25" s="60"/>
      <c r="AI25" s="60"/>
      <c r="AJ25" s="61"/>
      <c r="AK25" s="61"/>
      <c r="AL25" s="117"/>
      <c r="AM25" s="128"/>
      <c r="AN25" s="201">
        <f>'print Basis'!P20</f>
        <v>7.0000000000000007E-2</v>
      </c>
      <c r="AO25" s="128"/>
      <c r="AP25" s="621" t="e">
        <f>AN25*(AL26*AN26)</f>
        <v>#VALUE!</v>
      </c>
      <c r="AQ25" s="5"/>
      <c r="AR25" s="779"/>
      <c r="AS25" s="20"/>
      <c r="AT25" s="20"/>
      <c r="AU25" s="20"/>
      <c r="BYT25" s="299"/>
      <c r="BYU25" s="299"/>
      <c r="BYV25" s="665" t="s">
        <v>66</v>
      </c>
      <c r="BYW25" s="661" t="s">
        <v>60</v>
      </c>
      <c r="BYX25" s="661" t="s">
        <v>67</v>
      </c>
      <c r="BYY25" s="666" t="e">
        <f>AE26*X26*X25</f>
        <v>#N/A</v>
      </c>
      <c r="BYZ25" s="666">
        <f>100*X26*X25</f>
        <v>25</v>
      </c>
      <c r="BZA25" s="660"/>
      <c r="BZB25" s="661" t="s">
        <v>67</v>
      </c>
      <c r="BZC25" s="666" t="e">
        <f>AF26*Y26*Y25</f>
        <v>#N/A</v>
      </c>
      <c r="BZD25" s="666">
        <f>100*Y26*Y25</f>
        <v>7.0000000000000009</v>
      </c>
      <c r="BZE25" s="660"/>
      <c r="BZF25" s="661" t="s">
        <v>67</v>
      </c>
      <c r="BZG25" s="666" t="e">
        <f>AG26*Z26*Z25</f>
        <v>#N/A</v>
      </c>
      <c r="BZH25" s="666">
        <f>100*Z26*Z25</f>
        <v>7.0000000000000009</v>
      </c>
      <c r="BZI25" s="660"/>
      <c r="BZJ25" s="661" t="s">
        <v>67</v>
      </c>
      <c r="BZK25" s="666" t="e">
        <f>AH26*AA26*AA25</f>
        <v>#N/A</v>
      </c>
      <c r="BZL25" s="666">
        <f>100*AA26*AA25</f>
        <v>5</v>
      </c>
      <c r="BZM25" s="660"/>
      <c r="BZN25" s="661" t="s">
        <v>67</v>
      </c>
      <c r="BZO25" s="666" t="e">
        <f>AI26*AB26*AB25</f>
        <v>#N/A</v>
      </c>
      <c r="BZP25" s="666">
        <f>100*G26*G25</f>
        <v>20</v>
      </c>
      <c r="BZQ25" s="660"/>
      <c r="BZR25" s="661" t="s">
        <v>67</v>
      </c>
      <c r="BZS25" s="661" t="e">
        <f>AJ26*AC26*AC25</f>
        <v>#N/A</v>
      </c>
      <c r="BZT25" s="661">
        <f>100*AC26*AC25</f>
        <v>25</v>
      </c>
      <c r="BZU25" s="299"/>
      <c r="BZV25" s="661" t="s">
        <v>67</v>
      </c>
      <c r="BZW25" s="661" t="e">
        <f>AK26*AD26*AD25</f>
        <v>#N/A</v>
      </c>
      <c r="BZX25" s="661">
        <f>100*AD26*AD25</f>
        <v>12.5</v>
      </c>
      <c r="BZY25" s="299"/>
      <c r="BZZ25" s="280"/>
      <c r="CAA25" s="281" t="str">
        <f t="shared" ref="CAA25:CAA35" si="8">BZV25</f>
        <v>levensduurverlenging</v>
      </c>
      <c r="CAB25" s="283" t="e">
        <f t="shared" si="7"/>
        <v>#N/A</v>
      </c>
      <c r="CAC25" s="284">
        <f t="shared" si="7"/>
        <v>7.0000000000000009</v>
      </c>
    </row>
    <row r="26" spans="1:47 2022:2057" ht="47.4" customHeight="1" x14ac:dyDescent="0.4">
      <c r="A26" s="12"/>
      <c r="B26" s="16">
        <v>1</v>
      </c>
      <c r="C26" s="16">
        <v>1</v>
      </c>
      <c r="D26" s="16">
        <v>1</v>
      </c>
      <c r="E26" s="16">
        <v>1</v>
      </c>
      <c r="F26" s="16">
        <v>1</v>
      </c>
      <c r="G26" s="16">
        <v>1</v>
      </c>
      <c r="H26" s="16"/>
      <c r="I26" s="16"/>
      <c r="J26" s="16"/>
      <c r="K26" s="452" t="s">
        <v>60</v>
      </c>
      <c r="L26" s="549" t="s">
        <v>68</v>
      </c>
      <c r="M26" s="551" t="str">
        <f>IF(N26="","         klik hier op linkermuisknop + selecteer via het pull down menu het gerealiseerd circulaire doel","")</f>
        <v xml:space="preserve">         klik hier op linkermuisknop + selecteer via het pull down menu het gerealiseerd circulaire doel</v>
      </c>
      <c r="N26" s="210"/>
      <c r="O26" s="20"/>
      <c r="P26" s="20"/>
      <c r="Q26" s="20"/>
      <c r="R26" s="20"/>
      <c r="S26" s="20"/>
      <c r="T26" s="20"/>
      <c r="U26" s="20"/>
      <c r="V26" s="128"/>
      <c r="W26" s="7">
        <f t="shared" si="6"/>
        <v>1</v>
      </c>
      <c r="X26" s="26">
        <f>'info weging'!B11</f>
        <v>1</v>
      </c>
      <c r="Y26" s="26">
        <f>'info weging'!C11</f>
        <v>1</v>
      </c>
      <c r="Z26" s="26">
        <f>'info weging'!D11</f>
        <v>1</v>
      </c>
      <c r="AA26" s="26">
        <f>'info weging'!E11</f>
        <v>1</v>
      </c>
      <c r="AB26" s="26">
        <f>'info weging'!F11</f>
        <v>1</v>
      </c>
      <c r="AC26" s="27">
        <f>'info weging'!G11</f>
        <v>1</v>
      </c>
      <c r="AD26" s="27">
        <f>'info weging'!H11</f>
        <v>1</v>
      </c>
      <c r="AE26" s="96" t="e">
        <f>VLOOKUP(N26,'info weging'!$A$36:$H$163,2,FALSE)</f>
        <v>#N/A</v>
      </c>
      <c r="AF26" s="8" t="e">
        <f>VLOOKUP(N26,'info weging'!$A$36:$H$163,3,FALSE)</f>
        <v>#N/A</v>
      </c>
      <c r="AG26" s="8" t="e">
        <f>VLOOKUP(N26,'info weging'!$A$36:$H$163,4,FALSE)</f>
        <v>#N/A</v>
      </c>
      <c r="AH26" s="8" t="e">
        <f>VLOOKUP(N26,'info weging'!$A$36:$H$163,5,FALSE)</f>
        <v>#N/A</v>
      </c>
      <c r="AI26" s="8" t="e">
        <f>VLOOKUP(N26,'info weging'!$A$36:$H$163,6,FALSE)</f>
        <v>#N/A</v>
      </c>
      <c r="AJ26" s="9" t="e">
        <f>VLOOKUP(N26,'info weging'!$A$36:$H$163,7,FALSE)</f>
        <v>#N/A</v>
      </c>
      <c r="AK26" s="9" t="e">
        <f>VLOOKUP(N26,'info weging'!$A$36:$H$163,8,FALSE)</f>
        <v>#N/A</v>
      </c>
      <c r="AL26" s="260" t="str">
        <f>IF(COUNTA(N26)=1,AE26*$AE$15+AF26*$AF$15+AG26*$AG$15+AH26*$AH$15+AI26*$AI$15+AJ26*$AJ$15+AK26*$AK$15,"----")</f>
        <v>----</v>
      </c>
      <c r="AM26" s="128"/>
      <c r="AN26" s="127">
        <f>'print Basis'!P21</f>
        <v>1</v>
      </c>
      <c r="AO26" s="128"/>
      <c r="AP26" s="622"/>
      <c r="AQ26" s="5"/>
      <c r="AR26" s="778"/>
      <c r="AS26" s="20"/>
      <c r="AT26" s="20"/>
      <c r="AU26" s="20"/>
      <c r="BYT26" s="299"/>
      <c r="BYU26" s="299"/>
      <c r="BYV26" s="665" t="s">
        <v>70</v>
      </c>
      <c r="BYW26" s="661" t="s">
        <v>60</v>
      </c>
      <c r="BYX26" s="661" t="s">
        <v>71</v>
      </c>
      <c r="BYY26" s="666" t="e">
        <f>AE28*X28*X27</f>
        <v>#N/A</v>
      </c>
      <c r="BYZ26" s="666">
        <f>100*X28*X27</f>
        <v>7.8000000000000007</v>
      </c>
      <c r="BZA26" s="660"/>
      <c r="BZB26" s="661" t="s">
        <v>71</v>
      </c>
      <c r="BZC26" s="666" t="e">
        <f>AF28*Y28*Y27</f>
        <v>#N/A</v>
      </c>
      <c r="BZD26" s="666">
        <f>100*Y28*Y27</f>
        <v>2.8000000000000003</v>
      </c>
      <c r="BZE26" s="660"/>
      <c r="BZF26" s="661" t="s">
        <v>71</v>
      </c>
      <c r="BZG26" s="666" t="e">
        <f>AG28*Z28*Z27</f>
        <v>#N/A</v>
      </c>
      <c r="BZH26" s="666">
        <f>100*Z28*Z27</f>
        <v>6</v>
      </c>
      <c r="BZI26" s="660"/>
      <c r="BZJ26" s="661" t="s">
        <v>71</v>
      </c>
      <c r="BZK26" s="666" t="e">
        <f>AH28*AA28*AA27</f>
        <v>#N/A</v>
      </c>
      <c r="BZL26" s="666">
        <f>100*AA28*AA27</f>
        <v>6</v>
      </c>
      <c r="BZM26" s="660"/>
      <c r="BZN26" s="661" t="s">
        <v>71</v>
      </c>
      <c r="BZO26" s="666" t="e">
        <f>AI28*AB28*AB27</f>
        <v>#N/A</v>
      </c>
      <c r="BZP26" s="666">
        <f>100*G28*G27</f>
        <v>4</v>
      </c>
      <c r="BZQ26" s="660"/>
      <c r="BZR26" s="661" t="s">
        <v>71</v>
      </c>
      <c r="BZS26" s="661" t="e">
        <f>AJ28*AC28*AC27</f>
        <v>#N/A</v>
      </c>
      <c r="BZT26" s="661">
        <f>100*AC28*AC27</f>
        <v>4</v>
      </c>
      <c r="BZU26" s="299"/>
      <c r="BZV26" s="661" t="s">
        <v>71</v>
      </c>
      <c r="BZW26" s="661" t="e">
        <f>AK28*AD28*AD27</f>
        <v>#N/A</v>
      </c>
      <c r="BZX26" s="661">
        <f>100*AD28*AD27</f>
        <v>5</v>
      </c>
      <c r="BZY26" s="299"/>
      <c r="BZZ26" s="280"/>
      <c r="CAA26" s="281" t="str">
        <f t="shared" si="8"/>
        <v>hergebruik</v>
      </c>
      <c r="CAB26" s="283" t="e">
        <f t="shared" si="7"/>
        <v>#N/A</v>
      </c>
      <c r="CAC26" s="284">
        <f t="shared" si="7"/>
        <v>2.8000000000000003</v>
      </c>
    </row>
    <row r="27" spans="1:47 2022:2057" ht="21" customHeight="1" x14ac:dyDescent="0.4">
      <c r="A27" s="12"/>
      <c r="B27" s="15">
        <v>0.17</v>
      </c>
      <c r="C27" s="15">
        <v>0.15</v>
      </c>
      <c r="D27" s="15">
        <v>0.15</v>
      </c>
      <c r="E27" s="15">
        <v>0.2</v>
      </c>
      <c r="F27" s="15">
        <v>0.25</v>
      </c>
      <c r="G27" s="15">
        <v>0.2</v>
      </c>
      <c r="H27" s="15"/>
      <c r="I27" s="15"/>
      <c r="J27" s="15"/>
      <c r="K27" s="84">
        <v>3</v>
      </c>
      <c r="L27" s="56" t="s">
        <v>72</v>
      </c>
      <c r="M27" s="57"/>
      <c r="N27" s="239"/>
      <c r="O27" s="20"/>
      <c r="P27" s="20"/>
      <c r="Q27" s="20"/>
      <c r="R27" s="20"/>
      <c r="S27" s="20"/>
      <c r="T27" s="20"/>
      <c r="U27" s="20">
        <v>3</v>
      </c>
      <c r="V27" s="128"/>
      <c r="W27" s="7">
        <f t="shared" si="6"/>
        <v>7.0000000000000007E-2</v>
      </c>
      <c r="X27" s="22">
        <f>'info weging'!B12</f>
        <v>0.13</v>
      </c>
      <c r="Y27" s="22">
        <f>'info weging'!C12</f>
        <v>7.0000000000000007E-2</v>
      </c>
      <c r="Z27" s="22">
        <f>'info weging'!D12</f>
        <v>0.15</v>
      </c>
      <c r="AA27" s="22">
        <f>'info weging'!E12</f>
        <v>0.2</v>
      </c>
      <c r="AB27" s="22">
        <f>'info weging'!F12</f>
        <v>0.25</v>
      </c>
      <c r="AC27" s="23">
        <f>'info weging'!G12</f>
        <v>0.2</v>
      </c>
      <c r="AD27" s="23">
        <f>'info weging'!H12</f>
        <v>0.125</v>
      </c>
      <c r="AE27" s="74"/>
      <c r="AF27" s="72"/>
      <c r="AG27" s="72"/>
      <c r="AH27" s="72"/>
      <c r="AI27" s="72"/>
      <c r="AJ27" s="73"/>
      <c r="AK27" s="73"/>
      <c r="AL27" s="118"/>
      <c r="AM27" s="128"/>
      <c r="AN27" s="201">
        <f>'print Basis'!P22</f>
        <v>7.0000000000000007E-2</v>
      </c>
      <c r="AO27" s="128"/>
      <c r="AP27" s="621" t="e">
        <f>AN27*(AL28*AN28+AL29*AN29+AL30*AN30)</f>
        <v>#VALUE!</v>
      </c>
      <c r="AQ27" s="5"/>
      <c r="AR27" s="779"/>
      <c r="AS27" s="20"/>
      <c r="AT27" s="20"/>
      <c r="AU27" s="20"/>
      <c r="BYT27" s="299"/>
      <c r="BYU27" s="299"/>
      <c r="BYV27" s="665"/>
      <c r="BYW27" s="661" t="s">
        <v>73</v>
      </c>
      <c r="BYX27" s="661" t="s">
        <v>74</v>
      </c>
      <c r="BYY27" s="666" t="e">
        <f>AE29*X29*X27</f>
        <v>#N/A</v>
      </c>
      <c r="BYZ27" s="666">
        <f>100*X29*X27</f>
        <v>1.3</v>
      </c>
      <c r="BZA27" s="660"/>
      <c r="BZB27" s="661" t="s">
        <v>74</v>
      </c>
      <c r="BZC27" s="666" t="e">
        <f>AF29*Y29*Y27</f>
        <v>#N/A</v>
      </c>
      <c r="BZD27" s="666">
        <f>Y29*Y27*100</f>
        <v>2.8000000000000003</v>
      </c>
      <c r="BZE27" s="660"/>
      <c r="BZF27" s="661" t="s">
        <v>74</v>
      </c>
      <c r="BZG27" s="666" t="e">
        <f>AG29*Z29*Z27</f>
        <v>#N/A</v>
      </c>
      <c r="BZH27" s="666">
        <f>Z29*Z27*100</f>
        <v>6</v>
      </c>
      <c r="BZI27" s="660"/>
      <c r="BZJ27" s="661" t="s">
        <v>74</v>
      </c>
      <c r="BZK27" s="666" t="e">
        <f>AH29*AA29*AA27</f>
        <v>#N/A</v>
      </c>
      <c r="BZL27" s="666">
        <f>100*AA29*AA27</f>
        <v>12</v>
      </c>
      <c r="BZM27" s="660"/>
      <c r="BZN27" s="661" t="s">
        <v>74</v>
      </c>
      <c r="BZO27" s="666" t="e">
        <f>AI29*AB29*AB27</f>
        <v>#N/A</v>
      </c>
      <c r="BZP27" s="666">
        <f>G29*G27*100</f>
        <v>13.999999999999998</v>
      </c>
      <c r="BZQ27" s="660"/>
      <c r="BZR27" s="661" t="s">
        <v>74</v>
      </c>
      <c r="BZS27" s="661" t="e">
        <f>AJ29*AC29*AC27</f>
        <v>#N/A</v>
      </c>
      <c r="BZT27" s="661">
        <f>AC29*AC27*100</f>
        <v>13.999999999999998</v>
      </c>
      <c r="BZU27" s="299"/>
      <c r="BZV27" s="661" t="s">
        <v>74</v>
      </c>
      <c r="BZW27" s="661" t="e">
        <f>AK29*AD29*AD27</f>
        <v>#N/A</v>
      </c>
      <c r="BZX27" s="661">
        <f>100*AD29*AD27</f>
        <v>5</v>
      </c>
      <c r="BZY27" s="299"/>
      <c r="BZZ27" s="280"/>
      <c r="CAA27" s="281" t="str">
        <f t="shared" si="8"/>
        <v>materialendatabank</v>
      </c>
      <c r="CAB27" s="283" t="e">
        <f t="shared" si="7"/>
        <v>#N/A</v>
      </c>
      <c r="CAC27" s="284">
        <f t="shared" si="7"/>
        <v>2.8000000000000003</v>
      </c>
    </row>
    <row r="28" spans="1:47 2022:2057" ht="59.4" customHeight="1" x14ac:dyDescent="0.4">
      <c r="A28" s="12"/>
      <c r="B28" s="16">
        <v>0.4</v>
      </c>
      <c r="C28" s="16">
        <v>0.4</v>
      </c>
      <c r="D28" s="16">
        <v>0.4</v>
      </c>
      <c r="E28" s="16">
        <v>0.3</v>
      </c>
      <c r="F28" s="16">
        <v>0.2</v>
      </c>
      <c r="G28" s="16">
        <v>0.2</v>
      </c>
      <c r="H28" s="16"/>
      <c r="I28" s="16"/>
      <c r="J28" s="16"/>
      <c r="K28" s="452" t="s">
        <v>60</v>
      </c>
      <c r="L28" s="549" t="s">
        <v>75</v>
      </c>
      <c r="M28" s="551" t="str">
        <f>IF(N28="","         klik hier op linkermuisknop + selecteer via het pull down menu het gerealiseerd circulaire doel","")</f>
        <v xml:space="preserve">         klik hier op linkermuisknop + selecteer via het pull down menu het gerealiseerd circulaire doel</v>
      </c>
      <c r="N28" s="210"/>
      <c r="O28" s="20"/>
      <c r="P28" s="20"/>
      <c r="Q28" s="20"/>
      <c r="R28" s="20"/>
      <c r="S28" s="20"/>
      <c r="T28" s="20"/>
      <c r="U28" s="20"/>
      <c r="V28" s="128"/>
      <c r="W28" s="7">
        <f t="shared" si="6"/>
        <v>0.4</v>
      </c>
      <c r="X28" s="26">
        <f>'info weging'!B13</f>
        <v>0.6</v>
      </c>
      <c r="Y28" s="26">
        <f>'info weging'!C13</f>
        <v>0.4</v>
      </c>
      <c r="Z28" s="26">
        <f>'info weging'!D13</f>
        <v>0.4</v>
      </c>
      <c r="AA28" s="26">
        <f>'info weging'!E13</f>
        <v>0.3</v>
      </c>
      <c r="AB28" s="26">
        <f>'info weging'!F13</f>
        <v>0.2</v>
      </c>
      <c r="AC28" s="27">
        <f>'info weging'!G13</f>
        <v>0.2</v>
      </c>
      <c r="AD28" s="27">
        <f>'info weging'!H13</f>
        <v>0.4</v>
      </c>
      <c r="AE28" s="92" t="e">
        <f>VLOOKUP(N28,'info weging'!$A$36:$H$163,2,FALSE)</f>
        <v>#N/A</v>
      </c>
      <c r="AF28" s="8" t="e">
        <f>VLOOKUP(N28,'info weging'!$A$36:$H$163,3,FALSE)</f>
        <v>#N/A</v>
      </c>
      <c r="AG28" s="8" t="e">
        <f>VLOOKUP(N28,'info weging'!$A$36:$H$163,4,FALSE)</f>
        <v>#N/A</v>
      </c>
      <c r="AH28" s="8" t="e">
        <f>VLOOKUP(N28,'info weging'!$A$36:$H$163,5,FALSE)</f>
        <v>#N/A</v>
      </c>
      <c r="AI28" s="8" t="e">
        <f>VLOOKUP(N28,'info weging'!$A$36:$H$163,6,FALSE)</f>
        <v>#N/A</v>
      </c>
      <c r="AJ28" s="9" t="e">
        <f>VLOOKUP(N28,'info weging'!$A$36:$H$163,7,FALSE)</f>
        <v>#N/A</v>
      </c>
      <c r="AK28" s="9" t="e">
        <f>VLOOKUP(N28,'info weging'!$A$36:$H$163,8,FALSE)</f>
        <v>#N/A</v>
      </c>
      <c r="AL28" s="260" t="str">
        <f>IF(COUNTA(N28)=1,AE28*$AE$15+AF28*$AF$15+AG28*$AG$15+AH28*$AH$15+AI28*$AI$15+AJ28*$AJ$15+AK28*$AK$15,"----")</f>
        <v>----</v>
      </c>
      <c r="AM28" s="128"/>
      <c r="AN28" s="127">
        <f>'print Basis'!P23</f>
        <v>0.4</v>
      </c>
      <c r="AO28" s="202"/>
      <c r="AP28" s="622"/>
      <c r="AQ28" s="5"/>
      <c r="AR28" s="778"/>
      <c r="AS28" s="20"/>
      <c r="AT28" s="20"/>
      <c r="AU28" s="20"/>
      <c r="BYT28" s="299"/>
      <c r="BYU28" s="299"/>
      <c r="BYV28" s="665"/>
      <c r="BYW28" s="661" t="s">
        <v>77</v>
      </c>
      <c r="BYX28" s="661" t="s">
        <v>78</v>
      </c>
      <c r="BYY28" s="666" t="e">
        <f>AE30*X30*X27</f>
        <v>#N/A</v>
      </c>
      <c r="BYZ28" s="666">
        <f>X30*X27*100</f>
        <v>3.9</v>
      </c>
      <c r="BZA28" s="660"/>
      <c r="BZB28" s="661" t="s">
        <v>78</v>
      </c>
      <c r="BZC28" s="666" t="e">
        <f>AF30*Y30*Y27</f>
        <v>#N/A</v>
      </c>
      <c r="BZD28" s="666">
        <f>100*Y30*Y27</f>
        <v>1.4000000000000001</v>
      </c>
      <c r="BZE28" s="660"/>
      <c r="BZF28" s="661" t="s">
        <v>78</v>
      </c>
      <c r="BZG28" s="666" t="e">
        <f>AG30*Z30*Z27</f>
        <v>#N/A</v>
      </c>
      <c r="BZH28" s="666">
        <f>100*Z30*Z27</f>
        <v>3</v>
      </c>
      <c r="BZI28" s="660"/>
      <c r="BZJ28" s="661" t="s">
        <v>78</v>
      </c>
      <c r="BZK28" s="666" t="e">
        <f>AH30*AA30*AA27</f>
        <v>#N/A</v>
      </c>
      <c r="BZL28" s="666">
        <f>100*AA30*AA27</f>
        <v>2</v>
      </c>
      <c r="BZM28" s="660"/>
      <c r="BZN28" s="661" t="s">
        <v>78</v>
      </c>
      <c r="BZO28" s="666" t="e">
        <f>AI30*AB30*AB27</f>
        <v>#N/A</v>
      </c>
      <c r="BZP28" s="666">
        <f>100*G30*G27</f>
        <v>2</v>
      </c>
      <c r="BZQ28" s="660"/>
      <c r="BZR28" s="661" t="s">
        <v>78</v>
      </c>
      <c r="BZS28" s="661" t="e">
        <f>AJ30*AC30*AC27</f>
        <v>#N/A</v>
      </c>
      <c r="BZT28" s="661">
        <f>100*AC27*AC30</f>
        <v>2</v>
      </c>
      <c r="BZU28" s="299"/>
      <c r="BZV28" s="661" t="s">
        <v>78</v>
      </c>
      <c r="BZW28" s="661" t="e">
        <f>AK30*AD30*AD27</f>
        <v>#N/A</v>
      </c>
      <c r="BZX28" s="661">
        <f>100*AD30*AD27</f>
        <v>2.5</v>
      </c>
      <c r="BZY28" s="299"/>
      <c r="BZZ28" s="280"/>
      <c r="CAA28" s="281" t="str">
        <f t="shared" si="8"/>
        <v>natuurlijk proces</v>
      </c>
      <c r="CAB28" s="283" t="e">
        <f t="shared" si="7"/>
        <v>#N/A</v>
      </c>
      <c r="CAC28" s="284">
        <f t="shared" si="7"/>
        <v>1.4000000000000001</v>
      </c>
    </row>
    <row r="29" spans="1:47 2022:2057" ht="31.2" customHeight="1" x14ac:dyDescent="0.4">
      <c r="A29" s="12"/>
      <c r="B29" s="16">
        <v>0.4</v>
      </c>
      <c r="C29" s="16">
        <v>0.4</v>
      </c>
      <c r="D29" s="16">
        <v>0.4</v>
      </c>
      <c r="E29" s="16">
        <v>0.6</v>
      </c>
      <c r="F29" s="16">
        <v>0.7</v>
      </c>
      <c r="G29" s="16">
        <v>0.7</v>
      </c>
      <c r="H29" s="16"/>
      <c r="I29" s="16"/>
      <c r="J29" s="16"/>
      <c r="K29" s="452" t="s">
        <v>73</v>
      </c>
      <c r="L29" s="549" t="s">
        <v>79</v>
      </c>
      <c r="M29" s="551" t="str">
        <f>IF(N29="","         klik hier op linkermuisknop + selecteer via het pull down menu het gerealiseerd circulaire doel","")</f>
        <v xml:space="preserve">         klik hier op linkermuisknop + selecteer via het pull down menu het gerealiseerd circulaire doel</v>
      </c>
      <c r="N29" s="210"/>
      <c r="O29" s="20"/>
      <c r="P29" s="20"/>
      <c r="Q29" s="20"/>
      <c r="R29" s="20"/>
      <c r="S29" s="20"/>
      <c r="T29" s="20"/>
      <c r="U29" s="20"/>
      <c r="V29" s="128"/>
      <c r="W29" s="7">
        <f t="shared" si="6"/>
        <v>0.4</v>
      </c>
      <c r="X29" s="26">
        <f>'info weging'!B14</f>
        <v>0.1</v>
      </c>
      <c r="Y29" s="26">
        <f>'info weging'!C14</f>
        <v>0.4</v>
      </c>
      <c r="Z29" s="26">
        <f>'info weging'!D14</f>
        <v>0.4</v>
      </c>
      <c r="AA29" s="26">
        <f>'info weging'!E14</f>
        <v>0.6</v>
      </c>
      <c r="AB29" s="26">
        <f>'info weging'!F14</f>
        <v>0.7</v>
      </c>
      <c r="AC29" s="27">
        <f>'info weging'!G14</f>
        <v>0.7</v>
      </c>
      <c r="AD29" s="27">
        <f>'info weging'!H14</f>
        <v>0.4</v>
      </c>
      <c r="AE29" s="92" t="e">
        <f>VLOOKUP(N29,'info weging'!$A$36:$H$163,2,FALSE)</f>
        <v>#N/A</v>
      </c>
      <c r="AF29" s="8" t="e">
        <f>VLOOKUP(N29,'info weging'!$A$36:$H$163,3,FALSE)</f>
        <v>#N/A</v>
      </c>
      <c r="AG29" s="8" t="e">
        <f>VLOOKUP(N29,'info weging'!$A$36:$H$163,4,FALSE)</f>
        <v>#N/A</v>
      </c>
      <c r="AH29" s="8" t="e">
        <f>VLOOKUP(N29,'info weging'!$A$36:$H$163,5,FALSE)</f>
        <v>#N/A</v>
      </c>
      <c r="AI29" s="8" t="e">
        <f>VLOOKUP(N29,'info weging'!$A$36:$H$163,6,FALSE)</f>
        <v>#N/A</v>
      </c>
      <c r="AJ29" s="9" t="e">
        <f>VLOOKUP(N29,'info weging'!$A$36:$H$163,7,FALSE)</f>
        <v>#N/A</v>
      </c>
      <c r="AK29" s="9" t="e">
        <f>VLOOKUP(N29,'info weging'!$A$36:$H$163,8,FALSE)</f>
        <v>#N/A</v>
      </c>
      <c r="AL29" s="260" t="str">
        <f>IF(COUNTA(N29)=1,AE29*$AE$15+AF29*$AF$15+AG29*$AG$15+AH29*$AH$15+AI29*$AI$15+AJ29*$AJ$15+AK29*$AK$15,"----")</f>
        <v>----</v>
      </c>
      <c r="AM29" s="128"/>
      <c r="AN29" s="127">
        <f>'print Basis'!P24</f>
        <v>0.4</v>
      </c>
      <c r="AO29" s="202"/>
      <c r="AP29" s="622"/>
      <c r="AQ29" s="5"/>
      <c r="AR29" s="778"/>
      <c r="AS29" s="20"/>
      <c r="AT29" s="20"/>
      <c r="AU29" s="20"/>
      <c r="BYT29" s="299"/>
      <c r="BYU29" s="299"/>
      <c r="BYV29" s="665" t="s">
        <v>81</v>
      </c>
      <c r="BYW29" s="661" t="s">
        <v>60</v>
      </c>
      <c r="BYX29" s="661" t="s">
        <v>82</v>
      </c>
      <c r="BYY29" s="666" t="e">
        <f>AE32*X32*X31</f>
        <v>#N/A</v>
      </c>
      <c r="BYZ29" s="666">
        <f>100*X32*X31</f>
        <v>4.5</v>
      </c>
      <c r="BZA29" s="660"/>
      <c r="BZB29" s="661" t="s">
        <v>82</v>
      </c>
      <c r="BZC29" s="666" t="e">
        <f>AF32*Y32*Y31</f>
        <v>#N/A</v>
      </c>
      <c r="BZD29" s="666">
        <f>100*Y32*Y31</f>
        <v>6.3000000000000007</v>
      </c>
      <c r="BZE29" s="660"/>
      <c r="BZF29" s="661" t="s">
        <v>82</v>
      </c>
      <c r="BZG29" s="666" t="e">
        <f>AG32*Z32*Z31</f>
        <v>#N/A</v>
      </c>
      <c r="BZH29" s="666">
        <f>100*Z32*Z31</f>
        <v>9</v>
      </c>
      <c r="BZI29" s="660"/>
      <c r="BZJ29" s="661" t="s">
        <v>82</v>
      </c>
      <c r="BZK29" s="666" t="e">
        <f>AH32*AA32*AA31</f>
        <v>#N/A</v>
      </c>
      <c r="BZL29" s="666">
        <f>100*AA32*AA31</f>
        <v>8</v>
      </c>
      <c r="BZM29" s="660"/>
      <c r="BZN29" s="661" t="s">
        <v>82</v>
      </c>
      <c r="BZO29" s="666" t="e">
        <f>AI32*AB32*AB31</f>
        <v>#N/A</v>
      </c>
      <c r="BZP29" s="666">
        <f>100*G32*G31</f>
        <v>7.5</v>
      </c>
      <c r="BZQ29" s="660"/>
      <c r="BZR29" s="661" t="s">
        <v>82</v>
      </c>
      <c r="BZS29" s="661" t="e">
        <f>AJ32*AC32*AC31</f>
        <v>#N/A</v>
      </c>
      <c r="BZT29" s="661">
        <f>100*AC32*AC31</f>
        <v>7.5</v>
      </c>
      <c r="BZU29" s="299"/>
      <c r="BZV29" s="661" t="s">
        <v>82</v>
      </c>
      <c r="BZW29" s="661" t="e">
        <f>AK32*AD32*AD31</f>
        <v>#N/A</v>
      </c>
      <c r="BZX29" s="661">
        <f>100*AD32*AD31</f>
        <v>11.25</v>
      </c>
      <c r="BZY29" s="299"/>
      <c r="BZZ29" s="280"/>
      <c r="CAA29" s="281" t="str">
        <f t="shared" si="8"/>
        <v>herbruikb.na afdank</v>
      </c>
      <c r="CAB29" s="283" t="e">
        <f t="shared" si="7"/>
        <v>#N/A</v>
      </c>
      <c r="CAC29" s="284">
        <f t="shared" si="7"/>
        <v>6.3000000000000007</v>
      </c>
    </row>
    <row r="30" spans="1:47 2022:2057" ht="45.6" customHeight="1" x14ac:dyDescent="0.4">
      <c r="A30" s="12"/>
      <c r="B30" s="16">
        <v>0.2</v>
      </c>
      <c r="C30" s="16">
        <v>0.2</v>
      </c>
      <c r="D30" s="16">
        <v>0.2</v>
      </c>
      <c r="E30" s="16">
        <v>0.1</v>
      </c>
      <c r="F30" s="16">
        <v>0.1</v>
      </c>
      <c r="G30" s="16">
        <v>0.1</v>
      </c>
      <c r="H30" s="16"/>
      <c r="I30" s="16"/>
      <c r="J30" s="16"/>
      <c r="K30" s="452" t="s">
        <v>77</v>
      </c>
      <c r="L30" s="549" t="s">
        <v>83</v>
      </c>
      <c r="M30" s="551" t="str">
        <f>IF(N30="","         klik hier op linkermuisknop + selecteer via het pull down menu het gerealiseerd circulaire doel","")</f>
        <v xml:space="preserve">         klik hier op linkermuisknop + selecteer via het pull down menu het gerealiseerd circulaire doel</v>
      </c>
      <c r="N30" s="210"/>
      <c r="O30" s="20"/>
      <c r="P30" s="20"/>
      <c r="Q30" s="20"/>
      <c r="R30" s="20"/>
      <c r="S30" s="20"/>
      <c r="T30" s="20"/>
      <c r="U30" s="20"/>
      <c r="V30" s="128"/>
      <c r="W30" s="7">
        <f t="shared" si="6"/>
        <v>0.2</v>
      </c>
      <c r="X30" s="26">
        <f>'info weging'!B15</f>
        <v>0.3</v>
      </c>
      <c r="Y30" s="26">
        <f>'info weging'!C15</f>
        <v>0.2</v>
      </c>
      <c r="Z30" s="26">
        <f>'info weging'!D15</f>
        <v>0.2</v>
      </c>
      <c r="AA30" s="26">
        <f>'info weging'!E15</f>
        <v>0.1</v>
      </c>
      <c r="AB30" s="26">
        <f>'info weging'!F15</f>
        <v>0.1</v>
      </c>
      <c r="AC30" s="27">
        <f>'info weging'!G15</f>
        <v>0.1</v>
      </c>
      <c r="AD30" s="27">
        <f>'info weging'!H15</f>
        <v>0.2</v>
      </c>
      <c r="AE30" s="92" t="e">
        <f>VLOOKUP(N30,'info weging'!$A$36:$H$163,2,FALSE)</f>
        <v>#N/A</v>
      </c>
      <c r="AF30" s="8" t="e">
        <f>VLOOKUP(N30,'info weging'!$A$36:$H$163,3,FALSE)</f>
        <v>#N/A</v>
      </c>
      <c r="AG30" s="8" t="e">
        <f>VLOOKUP(N30,'info weging'!$A$36:$H$163,4,FALSE)</f>
        <v>#N/A</v>
      </c>
      <c r="AH30" s="8" t="e">
        <f>VLOOKUP(N30,'info weging'!$A$36:$H$163,5,FALSE)</f>
        <v>#N/A</v>
      </c>
      <c r="AI30" s="8" t="e">
        <f>VLOOKUP(N30,'info weging'!$A$36:$H$163,6,FALSE)</f>
        <v>#N/A</v>
      </c>
      <c r="AJ30" s="9" t="e">
        <f>VLOOKUP(N30,'info weging'!$A$36:$H$163,7,FALSE)</f>
        <v>#N/A</v>
      </c>
      <c r="AK30" s="9" t="e">
        <f>VLOOKUP(N30,'info weging'!$A$36:$H$163,8,FALSE)</f>
        <v>#N/A</v>
      </c>
      <c r="AL30" s="260" t="str">
        <f>IF(COUNTA(N30)=1,AE30*$AE$15+AF30*$AF$15+AG30*$AG$15+AH30*$AH$15+AI30*$AI$15+AJ30*$AJ$15+AK30*$AK$15,"----")</f>
        <v>----</v>
      </c>
      <c r="AM30" s="128"/>
      <c r="AN30" s="127">
        <f>'print Basis'!P25</f>
        <v>0.2</v>
      </c>
      <c r="AO30" s="202"/>
      <c r="AP30" s="622"/>
      <c r="AQ30" s="5"/>
      <c r="AR30" s="778"/>
      <c r="AS30" s="20"/>
      <c r="AT30" s="20"/>
      <c r="AU30" s="20"/>
      <c r="BYT30" s="299"/>
      <c r="BYU30" s="299"/>
      <c r="BYV30" s="661"/>
      <c r="BYW30" s="661" t="s">
        <v>73</v>
      </c>
      <c r="BYX30" s="661" t="s">
        <v>85</v>
      </c>
      <c r="BYY30" s="666" t="e">
        <f>AE33*X33*X31</f>
        <v>#N/A</v>
      </c>
      <c r="BYZ30" s="666">
        <f>100*X33*X31</f>
        <v>0.5</v>
      </c>
      <c r="BZA30" s="660"/>
      <c r="BZB30" s="661" t="s">
        <v>85</v>
      </c>
      <c r="BZC30" s="666" t="e">
        <f>AF33*Y33*Y31</f>
        <v>#N/A</v>
      </c>
      <c r="BZD30" s="666">
        <f>Y33*Y31*100</f>
        <v>0.70000000000000007</v>
      </c>
      <c r="BZE30" s="660"/>
      <c r="BZF30" s="661" t="s">
        <v>85</v>
      </c>
      <c r="BZG30" s="666" t="e">
        <f>AG33*Z33*Z31</f>
        <v>#N/A</v>
      </c>
      <c r="BZH30" s="666">
        <f>Z33*Z31*100</f>
        <v>1.0000000000000002</v>
      </c>
      <c r="BZI30" s="660"/>
      <c r="BZJ30" s="661" t="s">
        <v>85</v>
      </c>
      <c r="BZK30" s="666" t="e">
        <f>AH33*AA33*AA31</f>
        <v>#N/A</v>
      </c>
      <c r="BZL30" s="666">
        <f>100*AA33*AA31</f>
        <v>2</v>
      </c>
      <c r="BZM30" s="660"/>
      <c r="BZN30" s="661" t="s">
        <v>85</v>
      </c>
      <c r="BZO30" s="666" t="e">
        <f>AI33*AB33*AB31</f>
        <v>#N/A</v>
      </c>
      <c r="BZP30" s="666">
        <f>G33*G31*100</f>
        <v>7.5</v>
      </c>
      <c r="BZQ30" s="660"/>
      <c r="BZR30" s="661" t="s">
        <v>85</v>
      </c>
      <c r="BZS30" s="661" t="e">
        <f>AJ33*AC33*AC31</f>
        <v>#N/A</v>
      </c>
      <c r="BZT30" s="661">
        <f>AC33*AC31*100</f>
        <v>7.5</v>
      </c>
      <c r="BZU30" s="299"/>
      <c r="BZV30" s="661" t="s">
        <v>85</v>
      </c>
      <c r="BZW30" s="661" t="e">
        <f>AK33*AD33*AD31</f>
        <v>#N/A</v>
      </c>
      <c r="BZX30" s="661">
        <f>100*AD33*AD31</f>
        <v>1.25</v>
      </c>
      <c r="BZY30" s="299"/>
      <c r="BZZ30" s="280"/>
      <c r="CAA30" s="281" t="str">
        <f t="shared" si="8"/>
        <v>materialenpaspoort</v>
      </c>
      <c r="CAB30" s="283" t="e">
        <f t="shared" si="7"/>
        <v>#N/A</v>
      </c>
      <c r="CAC30" s="284">
        <f t="shared" si="7"/>
        <v>0.70000000000000007</v>
      </c>
    </row>
    <row r="31" spans="1:47 2022:2057" ht="21" customHeight="1" x14ac:dyDescent="0.4">
      <c r="A31" s="12"/>
      <c r="B31" s="15">
        <v>0.05</v>
      </c>
      <c r="C31" s="15">
        <v>0.1</v>
      </c>
      <c r="D31" s="15">
        <v>0.15</v>
      </c>
      <c r="E31" s="15">
        <v>0.1</v>
      </c>
      <c r="F31" s="15">
        <v>0.15</v>
      </c>
      <c r="G31" s="15">
        <v>0.15</v>
      </c>
      <c r="H31" s="15"/>
      <c r="I31" s="15"/>
      <c r="J31" s="15"/>
      <c r="K31" s="85">
        <v>4</v>
      </c>
      <c r="L31" s="44" t="s">
        <v>86</v>
      </c>
      <c r="M31" s="41"/>
      <c r="N31" s="240"/>
      <c r="O31" s="20"/>
      <c r="P31" s="20"/>
      <c r="Q31" s="20"/>
      <c r="R31" s="20"/>
      <c r="S31" s="20"/>
      <c r="T31" s="20"/>
      <c r="U31" s="20">
        <v>4</v>
      </c>
      <c r="V31" s="128"/>
      <c r="W31" s="7">
        <f t="shared" si="6"/>
        <v>7.0000000000000007E-2</v>
      </c>
      <c r="X31" s="22">
        <f>'info weging'!B16</f>
        <v>0.05</v>
      </c>
      <c r="Y31" s="22">
        <f>'info weging'!C16</f>
        <v>7.0000000000000007E-2</v>
      </c>
      <c r="Z31" s="22">
        <f>'info weging'!D16</f>
        <v>0.1</v>
      </c>
      <c r="AA31" s="22">
        <f>'info weging'!E16</f>
        <v>0.1</v>
      </c>
      <c r="AB31" s="22">
        <f>'info weging'!F16</f>
        <v>0.15</v>
      </c>
      <c r="AC31" s="23">
        <f>'info weging'!G16</f>
        <v>0.15</v>
      </c>
      <c r="AD31" s="23">
        <f>'info weging'!H16</f>
        <v>0.125</v>
      </c>
      <c r="AE31" s="75"/>
      <c r="AF31" s="70"/>
      <c r="AG31" s="70"/>
      <c r="AH31" s="70"/>
      <c r="AI31" s="70"/>
      <c r="AJ31" s="71"/>
      <c r="AK31" s="71"/>
      <c r="AL31" s="261"/>
      <c r="AM31" s="128"/>
      <c r="AN31" s="201">
        <f>'print Basis'!P26</f>
        <v>7.0000000000000007E-2</v>
      </c>
      <c r="AO31" s="128"/>
      <c r="AP31" s="621" t="e">
        <f>AN31*(AL32*AN32+AL33*AN33)</f>
        <v>#VALUE!</v>
      </c>
      <c r="AQ31" s="5"/>
      <c r="AR31" s="779"/>
      <c r="AS31" s="20"/>
      <c r="AT31" s="20"/>
      <c r="AU31" s="20"/>
      <c r="BYT31" s="299"/>
      <c r="BYU31" s="299"/>
      <c r="BYV31" s="665" t="s">
        <v>87</v>
      </c>
      <c r="BYW31" s="661" t="s">
        <v>60</v>
      </c>
      <c r="BYX31" s="661" t="s">
        <v>88</v>
      </c>
      <c r="BYY31" s="666" t="e">
        <f>AE35*X35*X34</f>
        <v>#N/A</v>
      </c>
      <c r="BYZ31" s="666">
        <f>100*X35*X34</f>
        <v>15</v>
      </c>
      <c r="BZA31" s="660"/>
      <c r="BZB31" s="661" t="s">
        <v>88</v>
      </c>
      <c r="BZC31" s="666" t="e">
        <f>AF35*Y35*Y34</f>
        <v>#N/A</v>
      </c>
      <c r="BZD31" s="666">
        <f>100*Y35*Y34</f>
        <v>10</v>
      </c>
      <c r="BZE31" s="660"/>
      <c r="BZF31" s="661" t="s">
        <v>88</v>
      </c>
      <c r="BZG31" s="666" t="e">
        <f>AG35*Z35*Z34</f>
        <v>#N/A</v>
      </c>
      <c r="BZH31" s="666">
        <f>100*Z35*Z34</f>
        <v>10</v>
      </c>
      <c r="BZI31" s="660"/>
      <c r="BZJ31" s="661" t="s">
        <v>88</v>
      </c>
      <c r="BZK31" s="666" t="e">
        <f>AH35*AA35*AA34</f>
        <v>#N/A</v>
      </c>
      <c r="BZL31" s="666">
        <f>100*AA35*AA34</f>
        <v>5</v>
      </c>
      <c r="BZM31" s="660"/>
      <c r="BZN31" s="661" t="s">
        <v>88</v>
      </c>
      <c r="BZO31" s="666" t="e">
        <f>AI35*AB35*AB34</f>
        <v>#N/A</v>
      </c>
      <c r="BZP31" s="666">
        <f>100*G35*G34</f>
        <v>5</v>
      </c>
      <c r="BZQ31" s="660"/>
      <c r="BZR31" s="661" t="s">
        <v>88</v>
      </c>
      <c r="BZS31" s="661" t="e">
        <f>AJ35*AC35*AC34</f>
        <v>#N/A</v>
      </c>
      <c r="BZT31" s="661">
        <f>100*AC35*AC34</f>
        <v>5</v>
      </c>
      <c r="BZU31" s="299"/>
      <c r="BZV31" s="661" t="s">
        <v>88</v>
      </c>
      <c r="BZW31" s="661" t="e">
        <f>AK35*AD35*AD34</f>
        <v>#N/A</v>
      </c>
      <c r="BZX31" s="661">
        <f>100*AD35*AD34</f>
        <v>12.5</v>
      </c>
      <c r="BZY31" s="299"/>
      <c r="BZZ31" s="280"/>
      <c r="CAA31" s="281" t="str">
        <f t="shared" si="8"/>
        <v>toekomstgericht</v>
      </c>
      <c r="CAB31" s="283" t="e">
        <f t="shared" si="7"/>
        <v>#N/A</v>
      </c>
      <c r="CAC31" s="284">
        <f t="shared" si="7"/>
        <v>10</v>
      </c>
    </row>
    <row r="32" spans="1:47 2022:2057" ht="51" customHeight="1" x14ac:dyDescent="0.4">
      <c r="A32" s="12"/>
      <c r="B32" s="16">
        <f>1-B33</f>
        <v>0.9</v>
      </c>
      <c r="C32" s="16">
        <f t="shared" ref="C32:G32" si="9">1-C33</f>
        <v>0.9</v>
      </c>
      <c r="D32" s="16">
        <f t="shared" si="9"/>
        <v>0.9</v>
      </c>
      <c r="E32" s="16">
        <v>0.8</v>
      </c>
      <c r="F32" s="16">
        <f t="shared" si="9"/>
        <v>0.5</v>
      </c>
      <c r="G32" s="16">
        <f t="shared" si="9"/>
        <v>0.5</v>
      </c>
      <c r="H32" s="16"/>
      <c r="I32" s="16"/>
      <c r="J32" s="16"/>
      <c r="K32" s="452" t="s">
        <v>60</v>
      </c>
      <c r="L32" s="549" t="s">
        <v>89</v>
      </c>
      <c r="M32" s="551" t="str">
        <f>IF(N32="","         klik hier op linkermuisknop + selecteer via het pull down menu het gerealiseerd circulaire doel","")</f>
        <v xml:space="preserve">         klik hier op linkermuisknop + selecteer via het pull down menu het gerealiseerd circulaire doel</v>
      </c>
      <c r="N32" s="210"/>
      <c r="O32" s="20"/>
      <c r="P32" s="20"/>
      <c r="Q32" s="20"/>
      <c r="R32" s="20"/>
      <c r="S32" s="20"/>
      <c r="T32" s="20"/>
      <c r="U32" s="20"/>
      <c r="V32" s="128"/>
      <c r="W32" s="7">
        <f t="shared" si="6"/>
        <v>0.9</v>
      </c>
      <c r="X32" s="26">
        <f>'info weging'!B17</f>
        <v>0.9</v>
      </c>
      <c r="Y32" s="26">
        <f>'info weging'!C17</f>
        <v>0.9</v>
      </c>
      <c r="Z32" s="26">
        <f>'info weging'!D17</f>
        <v>0.9</v>
      </c>
      <c r="AA32" s="26">
        <f>'info weging'!E17</f>
        <v>0.8</v>
      </c>
      <c r="AB32" s="26">
        <f>'info weging'!F17</f>
        <v>0.5</v>
      </c>
      <c r="AC32" s="27">
        <f>'info weging'!G17</f>
        <v>0.5</v>
      </c>
      <c r="AD32" s="27">
        <f>'info weging'!H17</f>
        <v>0.9</v>
      </c>
      <c r="AE32" s="94" t="e">
        <f>VLOOKUP(N32,'info weging'!$A$36:$H$163,2,FALSE)</f>
        <v>#N/A</v>
      </c>
      <c r="AF32" s="8" t="e">
        <f>VLOOKUP(N32,'info weging'!$A$36:$H$163,3,FALSE)</f>
        <v>#N/A</v>
      </c>
      <c r="AG32" s="8" t="e">
        <f>VLOOKUP(N32,'info weging'!$A$36:$H$163,4,FALSE)</f>
        <v>#N/A</v>
      </c>
      <c r="AH32" s="8" t="e">
        <f>VLOOKUP(N32,'info weging'!$A$36:$H$163,5,FALSE)</f>
        <v>#N/A</v>
      </c>
      <c r="AI32" s="8" t="e">
        <f>VLOOKUP(N32,'info weging'!$A$36:$H$163,6,FALSE)</f>
        <v>#N/A</v>
      </c>
      <c r="AJ32" s="9" t="e">
        <f>VLOOKUP(N32,'info weging'!$A$36:$H$163,7,FALSE)</f>
        <v>#N/A</v>
      </c>
      <c r="AK32" s="9" t="e">
        <f>VLOOKUP(N32,'info weging'!$A$36:$H$163,8,FALSE)</f>
        <v>#N/A</v>
      </c>
      <c r="AL32" s="260" t="str">
        <f>IF(COUNTA(N32)=1,AE32*$AE$15+AF32*$AF$15+AG32*$AG$15+AH32*$AH$15+AI32*$AI$15+AJ32*$AJ$15+AK32*$AK$15,"----")</f>
        <v>----</v>
      </c>
      <c r="AM32" s="128"/>
      <c r="AN32" s="127">
        <f>'print Basis'!P27</f>
        <v>0.9</v>
      </c>
      <c r="AO32" s="128"/>
      <c r="AP32" s="622"/>
      <c r="AQ32" s="5"/>
      <c r="AR32" s="778"/>
      <c r="AS32" s="20"/>
      <c r="AT32" s="20"/>
      <c r="AU32" s="20"/>
      <c r="BYT32" s="299"/>
      <c r="BYU32" s="299"/>
      <c r="BYV32" s="665" t="s">
        <v>91</v>
      </c>
      <c r="BYW32" s="661" t="s">
        <v>60</v>
      </c>
      <c r="BYX32" s="661" t="s">
        <v>35</v>
      </c>
      <c r="BYY32" s="666" t="e">
        <f>AE37*X37*X36</f>
        <v>#N/A</v>
      </c>
      <c r="BYZ32" s="666">
        <f>100*X37*X36</f>
        <v>5</v>
      </c>
      <c r="BZA32" s="660"/>
      <c r="BZB32" s="661" t="s">
        <v>35</v>
      </c>
      <c r="BZC32" s="666" t="e">
        <f>AF37*Y37*Y36</f>
        <v>#N/A</v>
      </c>
      <c r="BZD32" s="666">
        <f>100*Y37*Y36</f>
        <v>7.0000000000000009</v>
      </c>
      <c r="BZE32" s="660"/>
      <c r="BZF32" s="661" t="s">
        <v>35</v>
      </c>
      <c r="BZG32" s="666" t="e">
        <f>AG37*Z37*Z36</f>
        <v>#N/A</v>
      </c>
      <c r="BZH32" s="666">
        <f>100*Z37*Z36</f>
        <v>13</v>
      </c>
      <c r="BZI32" s="660"/>
      <c r="BZJ32" s="661" t="s">
        <v>35</v>
      </c>
      <c r="BZK32" s="666" t="e">
        <f>AH37*AA37*AA36</f>
        <v>#N/A</v>
      </c>
      <c r="BZL32" s="666">
        <f>100*AA37*AA36</f>
        <v>15</v>
      </c>
      <c r="BZM32" s="660"/>
      <c r="BZN32" s="661" t="s">
        <v>35</v>
      </c>
      <c r="BZO32" s="666" t="e">
        <f>AI37*AB37*AB36</f>
        <v>#N/A</v>
      </c>
      <c r="BZP32" s="666">
        <f>100*G37*G36</f>
        <v>20</v>
      </c>
      <c r="BZQ32" s="660"/>
      <c r="BZR32" s="661" t="s">
        <v>35</v>
      </c>
      <c r="BZS32" s="661" t="e">
        <f>AJ37*AC37*AC36</f>
        <v>#N/A</v>
      </c>
      <c r="BZT32" s="661">
        <f>100*AC37*AC36</f>
        <v>20</v>
      </c>
      <c r="BZU32" s="299"/>
      <c r="BZV32" s="661" t="s">
        <v>35</v>
      </c>
      <c r="BZW32" s="661" t="e">
        <f>AK37*AD37*AD36</f>
        <v>#N/A</v>
      </c>
      <c r="BZX32" s="661">
        <f>100*AD37*AD36</f>
        <v>12.5</v>
      </c>
      <c r="BZY32" s="299"/>
      <c r="BZZ32" s="280"/>
      <c r="CAA32" s="281" t="str">
        <f t="shared" si="8"/>
        <v>beheer/onderhoud</v>
      </c>
      <c r="CAB32" s="283" t="e">
        <f t="shared" si="7"/>
        <v>#N/A</v>
      </c>
      <c r="CAC32" s="284">
        <f t="shared" si="7"/>
        <v>7.0000000000000009</v>
      </c>
    </row>
    <row r="33" spans="1:49 2022:2057" ht="40.200000000000003" customHeight="1" x14ac:dyDescent="0.4">
      <c r="A33" s="12"/>
      <c r="B33" s="16">
        <v>0.1</v>
      </c>
      <c r="C33" s="16">
        <v>0.1</v>
      </c>
      <c r="D33" s="16">
        <v>0.1</v>
      </c>
      <c r="E33" s="16">
        <v>0.2</v>
      </c>
      <c r="F33" s="16">
        <v>0.5</v>
      </c>
      <c r="G33" s="16">
        <v>0.5</v>
      </c>
      <c r="H33" s="16"/>
      <c r="I33" s="16"/>
      <c r="J33" s="16"/>
      <c r="K33" s="452" t="s">
        <v>73</v>
      </c>
      <c r="L33" s="549" t="s">
        <v>85</v>
      </c>
      <c r="M33" s="551" t="str">
        <f>IF(N33="","         klik hier op linkermuisknop + selecteer via het pull down menu het gerealiseerd circulaire doel","")</f>
        <v xml:space="preserve">         klik hier op linkermuisknop + selecteer via het pull down menu het gerealiseerd circulaire doel</v>
      </c>
      <c r="N33" s="210"/>
      <c r="O33" s="20"/>
      <c r="P33" s="20"/>
      <c r="Q33" s="20"/>
      <c r="R33" s="20"/>
      <c r="S33" s="20"/>
      <c r="T33" s="20"/>
      <c r="U33" s="20"/>
      <c r="V33" s="128"/>
      <c r="W33" s="7">
        <f t="shared" si="6"/>
        <v>0.1</v>
      </c>
      <c r="X33" s="26">
        <f>'info weging'!B18</f>
        <v>0.1</v>
      </c>
      <c r="Y33" s="26">
        <f>'info weging'!C18</f>
        <v>0.1</v>
      </c>
      <c r="Z33" s="26">
        <f>'info weging'!D18</f>
        <v>0.1</v>
      </c>
      <c r="AA33" s="26">
        <f>'info weging'!E18</f>
        <v>0.2</v>
      </c>
      <c r="AB33" s="26">
        <f>'info weging'!F18</f>
        <v>0.5</v>
      </c>
      <c r="AC33" s="27">
        <f>'info weging'!G18</f>
        <v>0.5</v>
      </c>
      <c r="AD33" s="27">
        <f>'info weging'!H18</f>
        <v>0.1</v>
      </c>
      <c r="AE33" s="94" t="e">
        <f>VLOOKUP(N33,'info weging'!$A$36:$H$163,2,FALSE)</f>
        <v>#N/A</v>
      </c>
      <c r="AF33" s="8" t="e">
        <f>VLOOKUP(N33,'info weging'!$A$36:$H$163,3,FALSE)</f>
        <v>#N/A</v>
      </c>
      <c r="AG33" s="8" t="e">
        <f>VLOOKUP(N33,'info weging'!$A$36:$H$163,4,FALSE)</f>
        <v>#N/A</v>
      </c>
      <c r="AH33" s="8" t="e">
        <f>VLOOKUP(N33,'info weging'!$A$36:$H$163,5,FALSE)</f>
        <v>#N/A</v>
      </c>
      <c r="AI33" s="8" t="e">
        <f>VLOOKUP(N33,'info weging'!$A$36:$H$163,6,FALSE)</f>
        <v>#N/A</v>
      </c>
      <c r="AJ33" s="9" t="e">
        <f>VLOOKUP(N33,'info weging'!$A$36:$H$163,7,FALSE)</f>
        <v>#N/A</v>
      </c>
      <c r="AK33" s="9" t="e">
        <f>VLOOKUP(N33,'info weging'!$A$36:$H$163,8,FALSE)</f>
        <v>#N/A</v>
      </c>
      <c r="AL33" s="260" t="str">
        <f>IF(COUNTA(N33)=1,AE33*$AE$15+AF33*$AF$15+AG33*$AG$15+AH33*$AH$15+AI33*$AI$15+AJ33*$AJ$15+AK33*$AK$15,"----")</f>
        <v>----</v>
      </c>
      <c r="AM33" s="128"/>
      <c r="AN33" s="127">
        <f>'print Basis'!P28</f>
        <v>0.1</v>
      </c>
      <c r="AO33" s="128"/>
      <c r="AP33" s="622"/>
      <c r="AQ33" s="5"/>
      <c r="AR33" s="778"/>
      <c r="AS33" s="20"/>
      <c r="AT33" s="20"/>
      <c r="AU33" s="20"/>
      <c r="AW33" t="s">
        <v>93</v>
      </c>
      <c r="BYT33" s="299"/>
      <c r="BYU33" s="299"/>
      <c r="BYV33" s="665" t="s">
        <v>94</v>
      </c>
      <c r="BYW33" s="661" t="s">
        <v>60</v>
      </c>
      <c r="BYX33" s="661" t="s">
        <v>95</v>
      </c>
      <c r="BYY33" s="666" t="e">
        <f>AE39*X39*X38</f>
        <v>#N/A</v>
      </c>
      <c r="BYZ33" s="666">
        <f>100*X39*X38</f>
        <v>2.5</v>
      </c>
      <c r="BZA33" s="660"/>
      <c r="BZB33" s="661" t="s">
        <v>95</v>
      </c>
      <c r="BZC33" s="666" t="e">
        <f>AF39*Y39*Y38</f>
        <v>#N/A</v>
      </c>
      <c r="BZD33" s="666">
        <f>100*Y39*Y38</f>
        <v>20</v>
      </c>
      <c r="BZE33" s="660"/>
      <c r="BZF33" s="661" t="s">
        <v>95</v>
      </c>
      <c r="BZG33" s="666" t="e">
        <f>AG39*Z39*Z38</f>
        <v>#N/A</v>
      </c>
      <c r="BZH33" s="666">
        <f>100*Z39*Z38</f>
        <v>10</v>
      </c>
      <c r="BZI33" s="660"/>
      <c r="BZJ33" s="661" t="s">
        <v>95</v>
      </c>
      <c r="BZK33" s="666" t="e">
        <f>AH39*AA39*AA38</f>
        <v>#N/A</v>
      </c>
      <c r="BZL33" s="666">
        <f>100*AA39*AA38</f>
        <v>10</v>
      </c>
      <c r="BZM33" s="660"/>
      <c r="BZN33" s="661" t="s">
        <v>95</v>
      </c>
      <c r="BZO33" s="666" t="e">
        <f>AI39*AB39*AB38</f>
        <v>#N/A</v>
      </c>
      <c r="BZP33" s="666">
        <f>100*G39*G38</f>
        <v>7.0000000000000009</v>
      </c>
      <c r="BZQ33" s="660"/>
      <c r="BZR33" s="661" t="s">
        <v>95</v>
      </c>
      <c r="BZS33" s="661" t="e">
        <f>AJ39*AC39*AC38</f>
        <v>#N/A</v>
      </c>
      <c r="BZT33" s="661">
        <f>100*AC39*AC38</f>
        <v>2</v>
      </c>
      <c r="BZU33" s="299"/>
      <c r="BZV33" s="661" t="s">
        <v>95</v>
      </c>
      <c r="BZW33" s="661" t="e">
        <f>AK39*AD39*AD38</f>
        <v>#N/A</v>
      </c>
      <c r="BZX33" s="661">
        <f>100*AD39*AD38</f>
        <v>10</v>
      </c>
      <c r="BZY33" s="299"/>
      <c r="BZZ33" s="280"/>
      <c r="CAA33" s="281" t="str">
        <f t="shared" si="8"/>
        <v>MKIberekening</v>
      </c>
      <c r="CAB33" s="283" t="e">
        <f t="shared" si="7"/>
        <v>#N/A</v>
      </c>
      <c r="CAC33" s="284">
        <f t="shared" si="7"/>
        <v>20</v>
      </c>
    </row>
    <row r="34" spans="1:49 2022:2057" ht="21" customHeight="1" x14ac:dyDescent="0.4">
      <c r="A34" s="12"/>
      <c r="B34" s="15">
        <v>0.15</v>
      </c>
      <c r="C34" s="15">
        <v>0.11</v>
      </c>
      <c r="D34" s="15">
        <v>0.1</v>
      </c>
      <c r="E34" s="15">
        <v>0.11</v>
      </c>
      <c r="F34" s="15">
        <v>0.1</v>
      </c>
      <c r="G34" s="15">
        <v>0.05</v>
      </c>
      <c r="H34" s="15"/>
      <c r="I34" s="15"/>
      <c r="J34" s="15"/>
      <c r="K34" s="99">
        <v>5</v>
      </c>
      <c r="L34" s="100" t="s">
        <v>96</v>
      </c>
      <c r="M34" s="101"/>
      <c r="N34" s="241"/>
      <c r="O34" s="20"/>
      <c r="P34" s="20"/>
      <c r="Q34" s="20"/>
      <c r="R34" s="20"/>
      <c r="S34" s="20"/>
      <c r="T34" s="20"/>
      <c r="U34" s="20">
        <v>5</v>
      </c>
      <c r="V34" s="128"/>
      <c r="W34" s="7">
        <f t="shared" si="6"/>
        <v>0.1</v>
      </c>
      <c r="X34" s="22">
        <f>'info weging'!B19</f>
        <v>0.15</v>
      </c>
      <c r="Y34" s="22">
        <f>'info weging'!C19</f>
        <v>0.1</v>
      </c>
      <c r="Z34" s="22">
        <f>'info weging'!D19</f>
        <v>0.1</v>
      </c>
      <c r="AA34" s="22">
        <f>'info weging'!E19</f>
        <v>0.05</v>
      </c>
      <c r="AB34" s="22">
        <f>'info weging'!F19</f>
        <v>0.05</v>
      </c>
      <c r="AC34" s="23">
        <f>'info weging'!G19</f>
        <v>0.05</v>
      </c>
      <c r="AD34" s="23">
        <f>'info weging'!H19</f>
        <v>0.125</v>
      </c>
      <c r="AE34" s="102"/>
      <c r="AF34" s="68"/>
      <c r="AG34" s="68"/>
      <c r="AH34" s="68"/>
      <c r="AI34" s="68"/>
      <c r="AJ34" s="69"/>
      <c r="AK34" s="69"/>
      <c r="AL34" s="262"/>
      <c r="AM34" s="128"/>
      <c r="AN34" s="201">
        <f>'print Basis'!P29</f>
        <v>0.1</v>
      </c>
      <c r="AO34" s="128"/>
      <c r="AP34" s="621" t="e">
        <f>AN34*(AL35*AN35)</f>
        <v>#VALUE!</v>
      </c>
      <c r="AQ34" s="5"/>
      <c r="AR34" s="779"/>
      <c r="AS34" s="20"/>
      <c r="AT34" s="20"/>
      <c r="AU34" s="20"/>
      <c r="BYT34" s="299"/>
      <c r="BYU34" s="299"/>
      <c r="BYV34" s="661"/>
      <c r="BYW34" s="661" t="s">
        <v>73</v>
      </c>
      <c r="BYX34" s="661" t="s">
        <v>97</v>
      </c>
      <c r="BYY34" s="666" t="e">
        <f>AE40*X40*X38</f>
        <v>#N/A</v>
      </c>
      <c r="BYZ34" s="666">
        <f>100*X40*X38</f>
        <v>2.5</v>
      </c>
      <c r="BZA34" s="660"/>
      <c r="BZB34" s="661" t="s">
        <v>97</v>
      </c>
      <c r="BZC34" s="666" t="e">
        <f>AF40*Y40*Y38</f>
        <v>#N/A</v>
      </c>
      <c r="BZD34" s="666">
        <f>Y40*Y38*100</f>
        <v>4.9999999999999991</v>
      </c>
      <c r="BZE34" s="660"/>
      <c r="BZF34" s="661" t="s">
        <v>97</v>
      </c>
      <c r="BZG34" s="666" t="e">
        <f>AG40*Z40*Z38</f>
        <v>#N/A</v>
      </c>
      <c r="BZH34" s="666">
        <f>Z40*Z38*100</f>
        <v>10</v>
      </c>
      <c r="BZI34" s="660"/>
      <c r="BZJ34" s="661" t="s">
        <v>97</v>
      </c>
      <c r="BZK34" s="666" t="e">
        <f>AH40*AA40*AA38</f>
        <v>#N/A</v>
      </c>
      <c r="BZL34" s="666">
        <f>100*AA40*AA38</f>
        <v>10</v>
      </c>
      <c r="BZM34" s="660"/>
      <c r="BZN34" s="661" t="s">
        <v>97</v>
      </c>
      <c r="BZO34" s="666" t="e">
        <f>AI40*AB40*AB38</f>
        <v>#N/A</v>
      </c>
      <c r="BZP34" s="666">
        <f>G40*G38*100</f>
        <v>7.0000000000000009</v>
      </c>
      <c r="BZQ34" s="660"/>
      <c r="BZR34" s="661" t="s">
        <v>97</v>
      </c>
      <c r="BZS34" s="661" t="e">
        <f>AJ40*AC40*AC38</f>
        <v>#N/A</v>
      </c>
      <c r="BZT34" s="661">
        <f>AC40*AC38*100</f>
        <v>2</v>
      </c>
      <c r="BZU34" s="299"/>
      <c r="BZV34" s="661" t="s">
        <v>97</v>
      </c>
      <c r="BZW34" s="661" t="e">
        <f>AK40*AD40*AD38</f>
        <v>#N/A</v>
      </c>
      <c r="BZX34" s="661">
        <f>100*AD40*AD38</f>
        <v>2.4999999999999996</v>
      </c>
      <c r="BZY34" s="299"/>
      <c r="BZZ34" s="280"/>
      <c r="CAA34" s="281" t="str">
        <f t="shared" si="8"/>
        <v>CIberekening</v>
      </c>
      <c r="CAB34" s="283" t="e">
        <f t="shared" si="7"/>
        <v>#N/A</v>
      </c>
      <c r="CAC34" s="284">
        <f t="shared" si="7"/>
        <v>4.9999999999999991</v>
      </c>
    </row>
    <row r="35" spans="1:49 2022:2057" ht="46.2" customHeight="1" x14ac:dyDescent="0.4">
      <c r="A35" s="12"/>
      <c r="B35" s="16">
        <v>1</v>
      </c>
      <c r="C35" s="16">
        <v>1</v>
      </c>
      <c r="D35" s="16">
        <v>1</v>
      </c>
      <c r="E35" s="16">
        <v>1</v>
      </c>
      <c r="F35" s="16">
        <v>1</v>
      </c>
      <c r="G35" s="16">
        <v>1</v>
      </c>
      <c r="H35" s="16"/>
      <c r="I35" s="16"/>
      <c r="J35" s="16"/>
      <c r="K35" s="452" t="s">
        <v>60</v>
      </c>
      <c r="L35" s="549" t="s">
        <v>98</v>
      </c>
      <c r="M35" s="551" t="str">
        <f>IF(N35="","         klik hier op linkermuisknop + selecteer via het pull down menu het gerealiseerd circulaire doel","")</f>
        <v xml:space="preserve">         klik hier op linkermuisknop + selecteer via het pull down menu het gerealiseerd circulaire doel</v>
      </c>
      <c r="N35" s="210"/>
      <c r="O35" s="20"/>
      <c r="P35" s="20"/>
      <c r="Q35" s="20"/>
      <c r="R35" s="20"/>
      <c r="S35" s="20"/>
      <c r="T35" s="20"/>
      <c r="U35" s="20"/>
      <c r="V35" s="128"/>
      <c r="W35" s="7">
        <f t="shared" si="6"/>
        <v>1</v>
      </c>
      <c r="X35" s="26">
        <f>'info weging'!B20</f>
        <v>1</v>
      </c>
      <c r="Y35" s="26">
        <f>'info weging'!C20</f>
        <v>1</v>
      </c>
      <c r="Z35" s="26">
        <f>'info weging'!D20</f>
        <v>1</v>
      </c>
      <c r="AA35" s="26">
        <f>'info weging'!E20</f>
        <v>1</v>
      </c>
      <c r="AB35" s="26">
        <f>'info weging'!F20</f>
        <v>1</v>
      </c>
      <c r="AC35" s="27">
        <f>'info weging'!G20</f>
        <v>1</v>
      </c>
      <c r="AD35" s="27">
        <f>'info weging'!H20</f>
        <v>1</v>
      </c>
      <c r="AE35" s="93" t="e">
        <f>VLOOKUP(N35,'info weging'!$A$36:$H$163,2,FALSE)</f>
        <v>#N/A</v>
      </c>
      <c r="AF35" s="8" t="e">
        <f>VLOOKUP(N35,'info weging'!$A$36:$H$163,3,FALSE)</f>
        <v>#N/A</v>
      </c>
      <c r="AG35" s="8" t="e">
        <f>VLOOKUP(N35,'info weging'!$A$36:$H$163,4,FALSE)</f>
        <v>#N/A</v>
      </c>
      <c r="AH35" s="8" t="e">
        <f>VLOOKUP(N35,'info weging'!$A$36:$H$163,5,FALSE)</f>
        <v>#N/A</v>
      </c>
      <c r="AI35" s="8" t="e">
        <f>VLOOKUP(N35,'info weging'!$A$36:$H$163,6,FALSE)</f>
        <v>#N/A</v>
      </c>
      <c r="AJ35" s="9" t="e">
        <f>VLOOKUP(N35,'info weging'!$A$36:$H$163,7,FALSE)</f>
        <v>#N/A</v>
      </c>
      <c r="AK35" s="9" t="e">
        <f>VLOOKUP(N35,'info weging'!$A$36:$H$163,8,FALSE)</f>
        <v>#N/A</v>
      </c>
      <c r="AL35" s="260" t="str">
        <f>IF(COUNTA(N35)=1,AE35*$AE$15+AF35*$AF$15+AG35*$AG$15+AH35*$AH$15+AI35*$AI$15+AJ35*$AJ$15+AK35*$AK$15,"----")</f>
        <v>----</v>
      </c>
      <c r="AM35" s="128"/>
      <c r="AN35" s="127">
        <f>'print Basis'!P30</f>
        <v>1</v>
      </c>
      <c r="AO35" s="128"/>
      <c r="AP35" s="622"/>
      <c r="AQ35" s="5"/>
      <c r="AR35" s="778"/>
      <c r="AS35" s="20"/>
      <c r="AT35" s="20"/>
      <c r="AU35" s="20"/>
      <c r="BYT35" s="299"/>
      <c r="BYU35" s="299"/>
      <c r="BYV35" s="665" t="s">
        <v>100</v>
      </c>
      <c r="BYW35" s="661" t="s">
        <v>60</v>
      </c>
      <c r="BYX35" s="661" t="s">
        <v>101</v>
      </c>
      <c r="BYY35" s="666" t="e">
        <f>AE42*X42*X41</f>
        <v>#N/A</v>
      </c>
      <c r="BYZ35" s="666">
        <f>100*X42*X41</f>
        <v>2</v>
      </c>
      <c r="BZA35" s="660"/>
      <c r="BZB35" s="661" t="s">
        <v>101</v>
      </c>
      <c r="BZC35" s="666" t="e">
        <f>AF42*Y42*Y41</f>
        <v>#N/A</v>
      </c>
      <c r="BZD35" s="666">
        <f>100*Y42*Y41</f>
        <v>10</v>
      </c>
      <c r="BZE35" s="660"/>
      <c r="BZF35" s="661" t="s">
        <v>101</v>
      </c>
      <c r="BZG35" s="666" t="e">
        <f>AG42*Z42*Z41</f>
        <v>#N/A</v>
      </c>
      <c r="BZH35" s="666">
        <f>100*Z42*Z41</f>
        <v>10</v>
      </c>
      <c r="BZI35" s="660"/>
      <c r="BZJ35" s="661" t="s">
        <v>101</v>
      </c>
      <c r="BZK35" s="666" t="e">
        <f>AH42*AA42*AA41</f>
        <v>#N/A</v>
      </c>
      <c r="BZL35" s="666">
        <f>100*AA42*AA41</f>
        <v>10</v>
      </c>
      <c r="BZM35" s="660"/>
      <c r="BZN35" s="661" t="s">
        <v>101</v>
      </c>
      <c r="BZO35" s="666" t="e">
        <f>AI42*AB42*AB41</f>
        <v>#N/A</v>
      </c>
      <c r="BZP35" s="666">
        <f>100*G42*G41</f>
        <v>5</v>
      </c>
      <c r="BZQ35" s="660"/>
      <c r="BZR35" s="661" t="s">
        <v>101</v>
      </c>
      <c r="BZS35" s="661" t="e">
        <f>AJ42*AC42*AC41</f>
        <v>#N/A</v>
      </c>
      <c r="BZT35" s="661">
        <f>100*AC42*AC41</f>
        <v>10</v>
      </c>
      <c r="BZU35" s="299"/>
      <c r="BZV35" s="661" t="s">
        <v>101</v>
      </c>
      <c r="BZW35" s="661" t="e">
        <f>AK42*AD42*AD41</f>
        <v>#N/A</v>
      </c>
      <c r="BZX35" s="661">
        <f>100*AD42*AD41</f>
        <v>12.5</v>
      </c>
      <c r="BZY35" s="299"/>
      <c r="BZZ35" s="280"/>
      <c r="CAA35" s="281" t="str">
        <f t="shared" si="8"/>
        <v>CO2berekening</v>
      </c>
      <c r="CAB35" s="283" t="e">
        <f t="shared" si="7"/>
        <v>#N/A</v>
      </c>
      <c r="CAC35" s="284">
        <f t="shared" si="7"/>
        <v>10</v>
      </c>
    </row>
    <row r="36" spans="1:49 2022:2057" ht="21" customHeight="1" x14ac:dyDescent="0.4">
      <c r="A36" s="12"/>
      <c r="B36" s="15">
        <v>0.1</v>
      </c>
      <c r="C36" s="15">
        <v>0.11</v>
      </c>
      <c r="D36" s="15">
        <v>0.1</v>
      </c>
      <c r="E36" s="15">
        <v>0.14000000000000001</v>
      </c>
      <c r="F36" s="15">
        <v>0.15</v>
      </c>
      <c r="G36" s="15">
        <v>0.2</v>
      </c>
      <c r="H36" s="15"/>
      <c r="I36" s="15"/>
      <c r="J36" s="15"/>
      <c r="K36" s="86">
        <v>6</v>
      </c>
      <c r="L36" s="45" t="s">
        <v>102</v>
      </c>
      <c r="M36" s="42"/>
      <c r="N36" s="242"/>
      <c r="O36" s="20"/>
      <c r="P36" s="20"/>
      <c r="Q36" s="20"/>
      <c r="R36" s="20"/>
      <c r="S36" s="20"/>
      <c r="T36" s="20"/>
      <c r="U36" s="20">
        <v>6</v>
      </c>
      <c r="V36" s="128"/>
      <c r="W36" s="7">
        <f t="shared" si="6"/>
        <v>7.0000000000000007E-2</v>
      </c>
      <c r="X36" s="22">
        <f>'info weging'!B21</f>
        <v>0.05</v>
      </c>
      <c r="Y36" s="22">
        <f>'info weging'!C21</f>
        <v>7.0000000000000007E-2</v>
      </c>
      <c r="Z36" s="22">
        <f>'info weging'!D21</f>
        <v>0.13</v>
      </c>
      <c r="AA36" s="22">
        <f>'info weging'!E21</f>
        <v>0.15</v>
      </c>
      <c r="AB36" s="22">
        <f>'info weging'!F21</f>
        <v>0.15</v>
      </c>
      <c r="AC36" s="23">
        <f>'info weging'!G21</f>
        <v>0.2</v>
      </c>
      <c r="AD36" s="23">
        <f>'info weging'!H21</f>
        <v>0.125</v>
      </c>
      <c r="AE36" s="76"/>
      <c r="AF36" s="66"/>
      <c r="AG36" s="66"/>
      <c r="AH36" s="66"/>
      <c r="AI36" s="66"/>
      <c r="AJ36" s="67"/>
      <c r="AK36" s="67"/>
      <c r="AL36" s="263"/>
      <c r="AM36" s="128"/>
      <c r="AN36" s="201">
        <f>'print Basis'!P31</f>
        <v>7.0000000000000007E-2</v>
      </c>
      <c r="AO36" s="128"/>
      <c r="AP36" s="621" t="e">
        <f>AN36*(AL37*AN37)</f>
        <v>#VALUE!</v>
      </c>
      <c r="AQ36" s="5"/>
      <c r="AR36" s="779"/>
      <c r="AS36" s="20"/>
      <c r="AT36" s="20"/>
      <c r="AU36" s="20"/>
      <c r="BYT36" s="299"/>
      <c r="BYU36" s="299"/>
      <c r="BYV36" s="661"/>
      <c r="BYW36" s="661"/>
      <c r="BYX36" s="661" t="s">
        <v>103</v>
      </c>
      <c r="BYY36" s="666" t="e">
        <f>100-BYY37</f>
        <v>#N/A</v>
      </c>
      <c r="BYZ36" s="661">
        <v>0</v>
      </c>
      <c r="BZA36" s="660"/>
      <c r="BZB36" s="661" t="s">
        <v>103</v>
      </c>
      <c r="BZC36" s="666" t="e">
        <f>100-BZC37</f>
        <v>#N/A</v>
      </c>
      <c r="BZD36" s="661">
        <v>0</v>
      </c>
      <c r="BZE36" s="660"/>
      <c r="BZF36" s="661" t="s">
        <v>103</v>
      </c>
      <c r="BZG36" s="666" t="e">
        <f>100-BZG37</f>
        <v>#N/A</v>
      </c>
      <c r="BZH36" s="661">
        <v>0</v>
      </c>
      <c r="BZI36" s="660"/>
      <c r="BZJ36" s="661" t="s">
        <v>103</v>
      </c>
      <c r="BZK36" s="666" t="e">
        <f>100-BZK37</f>
        <v>#N/A</v>
      </c>
      <c r="BZL36" s="661">
        <v>0</v>
      </c>
      <c r="BZM36" s="660"/>
      <c r="BZN36" s="661" t="s">
        <v>103</v>
      </c>
      <c r="BZO36" s="666" t="e">
        <f>100-BZO37</f>
        <v>#N/A</v>
      </c>
      <c r="BZP36" s="661">
        <v>0</v>
      </c>
      <c r="BZQ36" s="660"/>
      <c r="BZR36" s="661" t="s">
        <v>103</v>
      </c>
      <c r="BZS36" s="666" t="e">
        <f>100-BZS37</f>
        <v>#N/A</v>
      </c>
      <c r="BZT36" s="661">
        <v>0</v>
      </c>
      <c r="BZU36" s="299"/>
      <c r="BZV36" s="661" t="s">
        <v>103</v>
      </c>
      <c r="BZW36" s="666" t="e">
        <f>100-BZW37</f>
        <v>#N/A</v>
      </c>
      <c r="BZX36" s="661">
        <v>0</v>
      </c>
      <c r="BZY36" s="299"/>
      <c r="BZZ36" s="280"/>
      <c r="CAA36" t="s">
        <v>321</v>
      </c>
      <c r="CAB36" s="725">
        <f>AP44</f>
        <v>0</v>
      </c>
    </row>
    <row r="37" spans="1:49 2022:2057" ht="40.200000000000003" customHeight="1" x14ac:dyDescent="0.4">
      <c r="A37" s="12"/>
      <c r="B37" s="16">
        <v>1</v>
      </c>
      <c r="C37" s="16">
        <v>1</v>
      </c>
      <c r="D37" s="16">
        <v>1</v>
      </c>
      <c r="E37" s="16">
        <v>1</v>
      </c>
      <c r="F37" s="16">
        <v>1</v>
      </c>
      <c r="G37" s="16">
        <v>1</v>
      </c>
      <c r="H37" s="16"/>
      <c r="I37" s="16"/>
      <c r="J37" s="16"/>
      <c r="K37" s="452" t="s">
        <v>60</v>
      </c>
      <c r="L37" s="549" t="s">
        <v>104</v>
      </c>
      <c r="M37" s="551" t="str">
        <f>IF(N37="","         klik hier op linkermuisknop + selecteer via het pull down menu het gerealiseerd circulaire doel","")</f>
        <v xml:space="preserve">         klik hier op linkermuisknop + selecteer via het pull down menu het gerealiseerd circulaire doel</v>
      </c>
      <c r="N37" s="210"/>
      <c r="O37" s="20"/>
      <c r="P37" s="20"/>
      <c r="Q37" s="20"/>
      <c r="R37" s="20"/>
      <c r="S37" s="20"/>
      <c r="T37" s="20"/>
      <c r="U37" s="20"/>
      <c r="V37" s="128"/>
      <c r="W37" s="7">
        <f t="shared" si="6"/>
        <v>1</v>
      </c>
      <c r="X37" s="26">
        <f>'info weging'!B22</f>
        <v>1</v>
      </c>
      <c r="Y37" s="26">
        <f>'info weging'!C22</f>
        <v>1</v>
      </c>
      <c r="Z37" s="26">
        <f>'info weging'!D22</f>
        <v>1</v>
      </c>
      <c r="AA37" s="26">
        <f>'info weging'!E22</f>
        <v>1</v>
      </c>
      <c r="AB37" s="26">
        <f>'info weging'!F22</f>
        <v>1</v>
      </c>
      <c r="AC37" s="27">
        <f>'info weging'!G22</f>
        <v>1</v>
      </c>
      <c r="AD37" s="27">
        <f>'info weging'!H22</f>
        <v>1</v>
      </c>
      <c r="AE37" s="98" t="e">
        <f>VLOOKUP(N37,'info weging'!$A$36:$H$163,2,FALSE)</f>
        <v>#N/A</v>
      </c>
      <c r="AF37" s="8" t="e">
        <f>VLOOKUP(N37,'info weging'!$A$36:$H$163,3,FALSE)</f>
        <v>#N/A</v>
      </c>
      <c r="AG37" s="8" t="e">
        <f>VLOOKUP(N37,'info weging'!$A$36:$H$163,4,FALSE)</f>
        <v>#N/A</v>
      </c>
      <c r="AH37" s="8" t="e">
        <f>VLOOKUP(N37,'info weging'!$A$36:$H$163,5,FALSE)</f>
        <v>#N/A</v>
      </c>
      <c r="AI37" s="8" t="e">
        <f>VLOOKUP(N37,'info weging'!$A$36:$H$163,6,FALSE)</f>
        <v>#N/A</v>
      </c>
      <c r="AJ37" s="9" t="e">
        <f>VLOOKUP(N37,'info weging'!$A$36:$H$163,7,FALSE)</f>
        <v>#N/A</v>
      </c>
      <c r="AK37" s="9" t="e">
        <f>VLOOKUP(N37,'info weging'!$A$36:$H$163,8,FALSE)</f>
        <v>#N/A</v>
      </c>
      <c r="AL37" s="260" t="str">
        <f>IF(COUNTA(N37)=1,AE37*$AE$15+AF37*$AF$15+AG37*$AG$15+AH37*$AH$15+AI37*$AI$15+AJ37*$AJ$15+AK37*$AK$15,"----")</f>
        <v>----</v>
      </c>
      <c r="AM37" s="128"/>
      <c r="AN37" s="127">
        <f>'print Basis'!P32</f>
        <v>1</v>
      </c>
      <c r="AO37" s="128"/>
      <c r="AP37" s="622"/>
      <c r="AQ37" s="5"/>
      <c r="AR37" s="778"/>
      <c r="AS37" s="20"/>
      <c r="AT37" s="20"/>
      <c r="AU37" s="20"/>
      <c r="BYT37" s="299"/>
      <c r="BYU37" s="299"/>
      <c r="BYV37" s="661"/>
      <c r="BYW37" s="661"/>
      <c r="BYX37" s="661" t="s">
        <v>106</v>
      </c>
      <c r="BYY37" s="666" t="e">
        <f>SUM(BYY24:BYY35)</f>
        <v>#N/A</v>
      </c>
      <c r="BYZ37" s="666">
        <f>SUM(BYZ24:BYZ36)</f>
        <v>100</v>
      </c>
      <c r="BZA37" s="660"/>
      <c r="BZB37" s="660" t="s">
        <v>106</v>
      </c>
      <c r="BZC37" s="666" t="e">
        <f>SUM(BZC24:BZC35)</f>
        <v>#N/A</v>
      </c>
      <c r="BZD37" s="666">
        <f>SUM(BZD24:BZD36)</f>
        <v>100</v>
      </c>
      <c r="BZE37" s="660"/>
      <c r="BZF37" s="660" t="s">
        <v>106</v>
      </c>
      <c r="BZG37" s="666" t="e">
        <f>SUM(BZG24:BZG35)</f>
        <v>#N/A</v>
      </c>
      <c r="BZH37" s="666">
        <f>SUM(BZH24:BZH36)</f>
        <v>100</v>
      </c>
      <c r="BZI37" s="660"/>
      <c r="BZJ37" s="660" t="s">
        <v>106</v>
      </c>
      <c r="BZK37" s="666" t="e">
        <f>SUM(BZK24:BZK35)</f>
        <v>#N/A</v>
      </c>
      <c r="BZL37" s="666">
        <f>SUM(BZL24:BZL36)</f>
        <v>100</v>
      </c>
      <c r="BZM37" s="660"/>
      <c r="BZN37" s="660" t="s">
        <v>106</v>
      </c>
      <c r="BZO37" s="666" t="e">
        <f>SUM(BZO24:BZO35)</f>
        <v>#N/A</v>
      </c>
      <c r="BZP37" s="666" t="e">
        <f>SUM(#REF!)</f>
        <v>#REF!</v>
      </c>
      <c r="BZQ37" s="660"/>
      <c r="BZR37" s="660" t="s">
        <v>106</v>
      </c>
      <c r="BZS37" s="666" t="e">
        <f>SUM(BZS24:BZS35)</f>
        <v>#N/A</v>
      </c>
      <c r="BZT37" s="666">
        <f>SUM(BZT24:BZT36)</f>
        <v>100</v>
      </c>
      <c r="BZU37" s="299"/>
      <c r="BZV37" s="660" t="s">
        <v>106</v>
      </c>
      <c r="BZW37" s="666" t="e">
        <f>SUM(BZW24:BZW35)</f>
        <v>#N/A</v>
      </c>
      <c r="BZX37" s="666">
        <f>SUM(BZX24:BZX36)</f>
        <v>100</v>
      </c>
      <c r="BZY37" s="299"/>
      <c r="BZZ37" s="280"/>
      <c r="CAA37" s="281" t="str">
        <f>BZV36</f>
        <v>rest</v>
      </c>
      <c r="CAB37" s="283" t="e">
        <f>BYY36*$BYY$15+BZC36*$BZC$15+BZG36*$BZG$15+BZK36*$BZK$15+BZO36*$BZO$15+BZS36*$BZS$15+BZW36*$BZW$15-CAB36</f>
        <v>#N/A</v>
      </c>
      <c r="CAC37" s="284">
        <f>BYZ36*$BYY$15+BZD36*$BZC$15+BZH36*$BZG$15+BZL36*$BZK$15+BZP36*$BZO$15+BZT36*$BZS$15+BZX36*$BZW$15</f>
        <v>0</v>
      </c>
    </row>
    <row r="38" spans="1:49 2022:2057" ht="21" customHeight="1" x14ac:dyDescent="0.4">
      <c r="A38" s="12"/>
      <c r="B38" s="15">
        <v>0.15</v>
      </c>
      <c r="C38" s="15">
        <v>0.18</v>
      </c>
      <c r="D38" s="15">
        <v>0.15</v>
      </c>
      <c r="E38" s="15">
        <v>0.13</v>
      </c>
      <c r="F38" s="15">
        <v>0.125</v>
      </c>
      <c r="G38" s="15">
        <v>0.14000000000000001</v>
      </c>
      <c r="H38" s="15"/>
      <c r="I38" s="15"/>
      <c r="J38" s="15"/>
      <c r="K38" s="87">
        <v>7</v>
      </c>
      <c r="L38" s="51" t="s">
        <v>354</v>
      </c>
      <c r="M38" s="52"/>
      <c r="N38" s="243"/>
      <c r="O38" s="20"/>
      <c r="P38" s="20"/>
      <c r="Q38" s="20"/>
      <c r="R38" s="20"/>
      <c r="S38" s="20"/>
      <c r="T38" s="20"/>
      <c r="U38" s="20">
        <v>7</v>
      </c>
      <c r="V38" s="128"/>
      <c r="W38" s="7">
        <f t="shared" si="6"/>
        <v>0.25</v>
      </c>
      <c r="X38" s="22">
        <f>'info weging'!B23</f>
        <v>0.05</v>
      </c>
      <c r="Y38" s="22">
        <f>'info weging'!C23</f>
        <v>0.25</v>
      </c>
      <c r="Z38" s="22">
        <f>'info weging'!D23</f>
        <v>0.2</v>
      </c>
      <c r="AA38" s="22">
        <f>'info weging'!E23</f>
        <v>0.2</v>
      </c>
      <c r="AB38" s="22">
        <f>'info weging'!F23</f>
        <v>0.2</v>
      </c>
      <c r="AC38" s="23">
        <f>'info weging'!G23</f>
        <v>0.04</v>
      </c>
      <c r="AD38" s="23">
        <f>'info weging'!H23</f>
        <v>0.125</v>
      </c>
      <c r="AE38" s="77"/>
      <c r="AF38" s="62"/>
      <c r="AG38" s="62"/>
      <c r="AH38" s="62"/>
      <c r="AI38" s="62"/>
      <c r="AJ38" s="63"/>
      <c r="AK38" s="63"/>
      <c r="AL38" s="264"/>
      <c r="AM38" s="128"/>
      <c r="AN38" s="201">
        <f>'print Basis'!P33</f>
        <v>0.25</v>
      </c>
      <c r="AO38" s="128"/>
      <c r="AP38" s="621" t="e">
        <f>AN38*(AL39*AN39+AL40*AN40)</f>
        <v>#VALUE!</v>
      </c>
      <c r="AQ38" s="5"/>
      <c r="AR38" s="779"/>
      <c r="AS38" s="20"/>
      <c r="AT38" s="20"/>
      <c r="AU38" s="20"/>
      <c r="BYT38" s="299"/>
      <c r="BYU38" s="299"/>
      <c r="BYV38" s="299"/>
      <c r="BYW38" s="299"/>
      <c r="BYX38" s="299"/>
      <c r="BYY38" s="662"/>
      <c r="BYZ38" s="662"/>
      <c r="BZA38" s="663"/>
      <c r="BZB38" s="663"/>
      <c r="BZC38" s="662"/>
      <c r="BZD38" s="662"/>
      <c r="BZE38" s="663"/>
      <c r="BZF38" s="662"/>
      <c r="BZG38" s="662"/>
      <c r="BZH38" s="662"/>
      <c r="BZI38" s="663"/>
      <c r="BZJ38" s="662"/>
      <c r="BZK38" s="662"/>
      <c r="BZL38" s="662"/>
      <c r="BZM38" s="663"/>
      <c r="BZN38" s="662"/>
      <c r="BZO38" s="662"/>
      <c r="BZP38" s="662"/>
      <c r="BZQ38" s="663"/>
      <c r="BZR38" s="299"/>
      <c r="BZS38" s="299"/>
      <c r="BZT38" s="299"/>
      <c r="BZU38" s="299"/>
      <c r="BZV38" s="299"/>
      <c r="BZW38" s="299"/>
      <c r="BZX38" s="299"/>
      <c r="BZY38" s="299"/>
      <c r="BZZ38" s="280"/>
      <c r="CAA38" s="281" t="str">
        <f>BZV37</f>
        <v>totaal</v>
      </c>
      <c r="CAB38" s="283" t="e">
        <f>BYY37*$BYY$15+BZC37*$BZC$15+BZG37*$BZG$15+BZK37*$BZK$15+BZO37*$BZO$15+BZS37*$BZS$15+BZW37*$BZW$15+CAB36</f>
        <v>#N/A</v>
      </c>
      <c r="CAC38" s="284" t="e">
        <f>BYZ37*$BYY$15+BZD37*$BZC$15+BZH37*$BZG$15+BZL37*$BZK$15+BZP37*$BZO$15+BZT37*$BZS$15+BZX37*$BZW$15</f>
        <v>#REF!</v>
      </c>
    </row>
    <row r="39" spans="1:49 2022:2057" ht="40.200000000000003" customHeight="1" x14ac:dyDescent="0.4">
      <c r="A39" s="12"/>
      <c r="B39" s="16">
        <v>0.5</v>
      </c>
      <c r="C39" s="16">
        <v>0.5</v>
      </c>
      <c r="D39" s="16">
        <v>0.5</v>
      </c>
      <c r="E39" s="16">
        <v>0.5</v>
      </c>
      <c r="F39" s="16">
        <v>0.5</v>
      </c>
      <c r="G39" s="16">
        <v>0.5</v>
      </c>
      <c r="H39" s="16"/>
      <c r="I39" s="16"/>
      <c r="J39" s="237" t="e">
        <f>BZJ53</f>
        <v>#N/A</v>
      </c>
      <c r="K39" s="452" t="s">
        <v>60</v>
      </c>
      <c r="L39" s="549" t="s">
        <v>108</v>
      </c>
      <c r="M39" s="551" t="str">
        <f>IF(N39="","         klik hier op linkermuisknop + selecteer via het pull down menu het gerealiseerd circulaire doel","")</f>
        <v xml:space="preserve">         klik hier op linkermuisknop + selecteer via het pull down menu het gerealiseerd circulaire doel</v>
      </c>
      <c r="N39" s="210"/>
      <c r="O39" s="20"/>
      <c r="P39" s="20"/>
      <c r="Q39" s="20"/>
      <c r="R39" s="20"/>
      <c r="S39" s="20"/>
      <c r="T39" s="20"/>
      <c r="U39" s="20"/>
      <c r="V39" s="128"/>
      <c r="W39" s="7">
        <f t="shared" si="6"/>
        <v>0.8</v>
      </c>
      <c r="X39" s="26">
        <f>'info weging'!B24</f>
        <v>0.5</v>
      </c>
      <c r="Y39" s="26">
        <f>'info weging'!C24</f>
        <v>0.8</v>
      </c>
      <c r="Z39" s="26">
        <f>'info weging'!D24</f>
        <v>0.5</v>
      </c>
      <c r="AA39" s="26">
        <f>'info weging'!E24</f>
        <v>0.5</v>
      </c>
      <c r="AB39" s="26">
        <f>'info weging'!F24</f>
        <v>0.5</v>
      </c>
      <c r="AC39" s="27">
        <f>'info weging'!G24</f>
        <v>0.5</v>
      </c>
      <c r="AD39" s="27">
        <f>'info weging'!H24</f>
        <v>0.8</v>
      </c>
      <c r="AE39" s="106" t="e">
        <f>VLOOKUP(N39,'info weging'!$A$36:$H$163,2,FALSE)</f>
        <v>#N/A</v>
      </c>
      <c r="AF39" s="8" t="e">
        <f>VLOOKUP(N39,'info weging'!$A$36:$H$163,3,FALSE)</f>
        <v>#N/A</v>
      </c>
      <c r="AG39" s="8" t="e">
        <f>VLOOKUP(N39,'info weging'!$A$36:$H$163,4,FALSE)</f>
        <v>#N/A</v>
      </c>
      <c r="AH39" s="8" t="e">
        <f>VLOOKUP(N39,'info weging'!$A$36:$H$163,5,FALSE)</f>
        <v>#N/A</v>
      </c>
      <c r="AI39" s="8" t="e">
        <f>VLOOKUP(N39,'info weging'!$A$36:$H$163,6,FALSE)</f>
        <v>#N/A</v>
      </c>
      <c r="AJ39" s="9" t="e">
        <f>VLOOKUP(N39,'info weging'!$A$36:$H$163,7,FALSE)</f>
        <v>#N/A</v>
      </c>
      <c r="AK39" s="9" t="e">
        <f>VLOOKUP(N39,'info weging'!$A$36:$H$163,8,FALSE)</f>
        <v>#N/A</v>
      </c>
      <c r="AL39" s="260" t="str">
        <f>IF(COUNTA(N39)=1,AE39*$AE$15+AF39*$AF$15+AG39*$AG$15+AH39*$AH$15+AI39*$AI$15+AJ39*$AJ$15+AK39*$AK$15,"----")</f>
        <v>----</v>
      </c>
      <c r="AM39" s="128"/>
      <c r="AN39" s="127">
        <f>'print Basis'!P34</f>
        <v>0.8</v>
      </c>
      <c r="AO39" s="128"/>
      <c r="AP39" s="622"/>
      <c r="AQ39" s="5"/>
      <c r="AR39" s="778"/>
      <c r="AS39" s="20"/>
      <c r="AT39" s="20"/>
      <c r="AU39" s="20"/>
      <c r="BYT39" s="299"/>
      <c r="BYU39" s="299"/>
      <c r="BYV39" s="299"/>
      <c r="BYW39" s="299"/>
      <c r="BYX39" s="299"/>
      <c r="BYY39" s="299"/>
      <c r="BYZ39" s="299"/>
      <c r="BZA39" s="299"/>
      <c r="BZB39" s="299"/>
      <c r="BZC39" s="299"/>
      <c r="BZD39" s="299"/>
      <c r="BZE39" s="299"/>
      <c r="BZF39" s="299"/>
      <c r="BZG39" s="299"/>
      <c r="BZH39" s="299"/>
      <c r="BZI39" s="299"/>
      <c r="BZJ39" s="299"/>
      <c r="BZK39" s="299"/>
      <c r="BZL39" s="299"/>
      <c r="BZM39" s="299"/>
      <c r="BZN39" s="299"/>
      <c r="BZO39" s="299"/>
      <c r="BZP39" s="299"/>
      <c r="BZQ39" s="299"/>
      <c r="BZR39" s="299"/>
      <c r="BZS39" s="299"/>
      <c r="BZT39" s="299"/>
      <c r="BZU39" s="299"/>
      <c r="BZV39" s="299"/>
      <c r="BZW39" s="299"/>
      <c r="BZX39" s="299"/>
      <c r="BZY39" s="299"/>
      <c r="BZZ39" s="280"/>
      <c r="CAA39" s="281"/>
      <c r="CAB39" s="281"/>
      <c r="CAC39" s="282"/>
    </row>
    <row r="40" spans="1:49 2022:2057" ht="40.200000000000003" customHeight="1" x14ac:dyDescent="0.4">
      <c r="A40" s="12"/>
      <c r="B40" s="16">
        <f>1-B39</f>
        <v>0.5</v>
      </c>
      <c r="C40" s="16">
        <f t="shared" ref="C40:G40" si="10">1-C39</f>
        <v>0.5</v>
      </c>
      <c r="D40" s="16">
        <f t="shared" si="10"/>
        <v>0.5</v>
      </c>
      <c r="E40" s="16">
        <f t="shared" si="10"/>
        <v>0.5</v>
      </c>
      <c r="F40" s="16">
        <f t="shared" si="10"/>
        <v>0.5</v>
      </c>
      <c r="G40" s="16">
        <f t="shared" si="10"/>
        <v>0.5</v>
      </c>
      <c r="H40" s="16"/>
      <c r="I40" s="16"/>
      <c r="J40" s="16"/>
      <c r="K40" s="452" t="s">
        <v>73</v>
      </c>
      <c r="L40" s="549" t="s">
        <v>110</v>
      </c>
      <c r="M40" s="551" t="str">
        <f>IF(N40="","         klik hier op linkermuisknop + selecteer via het pull down menu het gerealiseerd circulaire doel","")</f>
        <v xml:space="preserve">         klik hier op linkermuisknop + selecteer via het pull down menu het gerealiseerd circulaire doel</v>
      </c>
      <c r="N40" s="210"/>
      <c r="O40" s="20"/>
      <c r="P40" s="20"/>
      <c r="Q40" s="20"/>
      <c r="R40" s="20"/>
      <c r="S40" s="20"/>
      <c r="T40" s="20"/>
      <c r="U40" s="20"/>
      <c r="V40" s="128"/>
      <c r="W40" s="7">
        <f t="shared" si="6"/>
        <v>0.19999999999999996</v>
      </c>
      <c r="X40" s="26">
        <f>'info weging'!B25</f>
        <v>0.5</v>
      </c>
      <c r="Y40" s="26">
        <f>'info weging'!C25</f>
        <v>0.19999999999999996</v>
      </c>
      <c r="Z40" s="26">
        <f>'info weging'!D25</f>
        <v>0.5</v>
      </c>
      <c r="AA40" s="26">
        <f>'info weging'!E25</f>
        <v>0.5</v>
      </c>
      <c r="AB40" s="26">
        <f>'info weging'!F25</f>
        <v>0.5</v>
      </c>
      <c r="AC40" s="27">
        <f>'info weging'!G25</f>
        <v>0.5</v>
      </c>
      <c r="AD40" s="27">
        <f>'info weging'!H25</f>
        <v>0.19999999999999996</v>
      </c>
      <c r="AE40" s="106" t="e">
        <f>VLOOKUP(N40,'info weging'!$A$36:$H$163,2,FALSE)</f>
        <v>#N/A</v>
      </c>
      <c r="AF40" s="8" t="e">
        <f>VLOOKUP(N40,'info weging'!$A$36:$H$163,3,FALSE)</f>
        <v>#N/A</v>
      </c>
      <c r="AG40" s="8" t="e">
        <f>VLOOKUP(N40,'info weging'!$A$36:$H$163,4,FALSE)</f>
        <v>#N/A</v>
      </c>
      <c r="AH40" s="8" t="e">
        <f>VLOOKUP(N40,'info weging'!$A$36:$H$163,5,FALSE)</f>
        <v>#N/A</v>
      </c>
      <c r="AI40" s="8" t="e">
        <f>VLOOKUP(N40,'info weging'!$A$36:$H$163,6,FALSE)</f>
        <v>#N/A</v>
      </c>
      <c r="AJ40" s="9" t="e">
        <f>VLOOKUP(N40,'info weging'!$A$36:$H$163,7,FALSE)</f>
        <v>#N/A</v>
      </c>
      <c r="AK40" s="9" t="e">
        <f>VLOOKUP(N40,'info weging'!$A$36:$H$163,8,FALSE)</f>
        <v>#N/A</v>
      </c>
      <c r="AL40" s="260" t="str">
        <f>IF(COUNTA(N40)=1,AE40*$AE$15+AF40*$AF$15+AG40*$AG$15+AH40*$AH$15+AI40*$AI$15+AJ40*$AJ$15+AK40*$AK$15,"----")</f>
        <v>----</v>
      </c>
      <c r="AM40" s="128"/>
      <c r="AN40" s="127">
        <f>'print Basis'!P35</f>
        <v>0.19999999999999996</v>
      </c>
      <c r="AO40" s="128"/>
      <c r="AP40" s="622"/>
      <c r="AQ40" s="5"/>
      <c r="AR40" s="778"/>
      <c r="AS40" s="20"/>
      <c r="AT40" s="20"/>
      <c r="AU40" s="20"/>
      <c r="BYT40" s="299"/>
      <c r="BYU40" s="299"/>
      <c r="BYV40" s="299"/>
      <c r="BYW40" s="299"/>
      <c r="BYX40" s="299"/>
      <c r="BYY40" s="299"/>
      <c r="BYZ40" s="299"/>
      <c r="BZA40" s="299"/>
      <c r="BZB40" s="299"/>
      <c r="BZC40" s="299"/>
      <c r="BZD40" s="299"/>
      <c r="BZE40" s="299"/>
      <c r="BZF40" s="299"/>
      <c r="BZG40" s="299"/>
      <c r="BZH40" s="299"/>
      <c r="BZI40" s="299"/>
      <c r="BZJ40" s="299"/>
      <c r="BZK40" s="299"/>
      <c r="BZL40" s="299"/>
      <c r="BZM40" s="299"/>
      <c r="BZN40" s="299"/>
      <c r="BZO40" s="299"/>
      <c r="BZP40" s="299"/>
      <c r="BZQ40" s="299"/>
      <c r="BZR40" s="299"/>
      <c r="BZS40" s="299"/>
      <c r="BZT40" s="299"/>
      <c r="BZU40" s="299"/>
      <c r="BZV40" s="299"/>
      <c r="BZW40" s="299"/>
      <c r="BZX40" s="299"/>
      <c r="BZY40" s="299"/>
      <c r="BZZ40" s="280"/>
      <c r="CAA40" s="281"/>
      <c r="CAB40" s="281"/>
      <c r="CAC40" s="282"/>
    </row>
    <row r="41" spans="1:49 2022:2057" ht="21" customHeight="1" x14ac:dyDescent="0.4">
      <c r="A41" s="12"/>
      <c r="B41" s="15">
        <v>0.01</v>
      </c>
      <c r="C41" s="15">
        <v>0.05</v>
      </c>
      <c r="D41" s="15">
        <v>0.05</v>
      </c>
      <c r="E41" s="15">
        <v>0.05</v>
      </c>
      <c r="F41" s="15">
        <v>0.05</v>
      </c>
      <c r="G41" s="15">
        <v>0.05</v>
      </c>
      <c r="H41" s="15"/>
      <c r="I41" s="15"/>
      <c r="J41" s="15"/>
      <c r="K41" s="88">
        <v>8</v>
      </c>
      <c r="L41" s="46" t="s">
        <v>111</v>
      </c>
      <c r="M41" s="43"/>
      <c r="N41" s="244"/>
      <c r="O41" s="20"/>
      <c r="P41" s="20"/>
      <c r="Q41" s="20"/>
      <c r="R41" s="20"/>
      <c r="S41" s="20"/>
      <c r="T41" s="20"/>
      <c r="U41" s="20">
        <v>8</v>
      </c>
      <c r="V41" s="128"/>
      <c r="W41" s="7">
        <f t="shared" si="6"/>
        <v>0.1</v>
      </c>
      <c r="X41" s="22">
        <f>'info weging'!B26</f>
        <v>0.02</v>
      </c>
      <c r="Y41" s="22">
        <f>'info weging'!C26</f>
        <v>0.1</v>
      </c>
      <c r="Z41" s="22">
        <f>'info weging'!D26</f>
        <v>0.1</v>
      </c>
      <c r="AA41" s="22">
        <f>'info weging'!E26</f>
        <v>0.1</v>
      </c>
      <c r="AB41" s="22">
        <f>'info weging'!F26</f>
        <v>0.1</v>
      </c>
      <c r="AC41" s="23">
        <f>'info weging'!G26</f>
        <v>0.1</v>
      </c>
      <c r="AD41" s="23">
        <f>'info weging'!H26</f>
        <v>0.125</v>
      </c>
      <c r="AE41" s="78"/>
      <c r="AF41" s="64"/>
      <c r="AG41" s="64"/>
      <c r="AH41" s="64"/>
      <c r="AI41" s="64"/>
      <c r="AJ41" s="65"/>
      <c r="AK41" s="65"/>
      <c r="AL41" s="265"/>
      <c r="AM41" s="203"/>
      <c r="AN41" s="201">
        <f>'print Basis'!P36</f>
        <v>0.1</v>
      </c>
      <c r="AO41" s="128"/>
      <c r="AP41" s="621" t="e">
        <f>AN41*(AL42*AN42)</f>
        <v>#VALUE!</v>
      </c>
      <c r="AQ41" s="5"/>
      <c r="AR41" s="779"/>
      <c r="AS41" s="20"/>
      <c r="AT41" s="20"/>
      <c r="AU41" s="20"/>
      <c r="BYT41" s="299"/>
      <c r="BYU41" s="299"/>
      <c r="BYV41" s="299"/>
      <c r="BYW41" s="299"/>
      <c r="BYX41" s="299"/>
      <c r="BYY41" s="662"/>
      <c r="BYZ41" s="662"/>
      <c r="BZA41" s="663"/>
      <c r="BZB41" s="663"/>
      <c r="BZC41" s="662"/>
      <c r="BZD41" s="662"/>
      <c r="BZE41" s="663"/>
      <c r="BZF41" s="662"/>
      <c r="BZG41" s="662"/>
      <c r="BZH41" s="662"/>
      <c r="BZI41" s="663"/>
      <c r="BZJ41" s="662"/>
      <c r="BZK41" s="662"/>
      <c r="BZL41" s="662"/>
      <c r="BZM41" s="663"/>
      <c r="BZN41" s="662"/>
      <c r="BZO41" s="662"/>
      <c r="BZP41" s="662"/>
      <c r="BZQ41" s="663"/>
      <c r="BZR41" s="299"/>
      <c r="BZS41" s="299"/>
      <c r="BZT41" s="299"/>
      <c r="BZU41" s="299"/>
      <c r="BZV41" s="299"/>
      <c r="BZW41" s="299"/>
      <c r="BZX41" s="299"/>
      <c r="BZY41" s="299"/>
      <c r="BZZ41" s="280"/>
      <c r="CAA41" s="281"/>
      <c r="CAB41" s="281"/>
      <c r="CAC41" s="282"/>
    </row>
    <row r="42" spans="1:49 2022:2057" ht="40.200000000000003" customHeight="1" x14ac:dyDescent="0.4">
      <c r="A42" s="12"/>
      <c r="B42" s="16">
        <v>1</v>
      </c>
      <c r="C42" s="16">
        <v>1</v>
      </c>
      <c r="D42" s="16">
        <v>1</v>
      </c>
      <c r="E42" s="16">
        <v>1</v>
      </c>
      <c r="F42" s="16">
        <v>1</v>
      </c>
      <c r="G42" s="16">
        <v>1</v>
      </c>
      <c r="H42" s="16"/>
      <c r="I42" s="16"/>
      <c r="J42" s="16"/>
      <c r="K42" s="452" t="s">
        <v>60</v>
      </c>
      <c r="L42" s="549" t="s">
        <v>305</v>
      </c>
      <c r="M42" s="551" t="str">
        <f>IF(N42="","         klik hier op linkermuisknop + selecteer via het pull down menu het gerealiseerd circulaire doel","")</f>
        <v xml:space="preserve">         klik hier op linkermuisknop + selecteer via het pull down menu het gerealiseerd circulaire doel</v>
      </c>
      <c r="N42" s="210"/>
      <c r="O42" s="38"/>
      <c r="P42" s="38"/>
      <c r="Q42" s="38"/>
      <c r="R42" s="38"/>
      <c r="S42" s="38"/>
      <c r="T42" s="38"/>
      <c r="U42" s="38"/>
      <c r="V42" s="204"/>
      <c r="W42" s="6">
        <f t="shared" si="6"/>
        <v>1</v>
      </c>
      <c r="X42" s="28">
        <f>'info weging'!B27</f>
        <v>1</v>
      </c>
      <c r="Y42" s="28">
        <f>'info weging'!C27</f>
        <v>1</v>
      </c>
      <c r="Z42" s="28">
        <f>'info weging'!D27</f>
        <v>1</v>
      </c>
      <c r="AA42" s="28">
        <f>'info weging'!E27</f>
        <v>1</v>
      </c>
      <c r="AB42" s="28">
        <f>'info weging'!F27</f>
        <v>1</v>
      </c>
      <c r="AC42" s="29">
        <f>'info weging'!G27</f>
        <v>1</v>
      </c>
      <c r="AD42" s="29">
        <f>'info weging'!H27</f>
        <v>1</v>
      </c>
      <c r="AE42" s="105" t="e">
        <f>VLOOKUP(N42,'info weging'!$A$36:$H$163,2,FALSE)</f>
        <v>#N/A</v>
      </c>
      <c r="AF42" s="10" t="e">
        <f>VLOOKUP(N42,'info weging'!$A$36:$H$163,3,FALSE)</f>
        <v>#N/A</v>
      </c>
      <c r="AG42" s="10" t="e">
        <f>VLOOKUP(N42,'info weging'!$A$36:$H$163,4,FALSE)</f>
        <v>#N/A</v>
      </c>
      <c r="AH42" s="10" t="e">
        <f>VLOOKUP(N42,'info weging'!$A$36:$H$163,5,FALSE)</f>
        <v>#N/A</v>
      </c>
      <c r="AI42" s="10" t="e">
        <f>VLOOKUP(N42,'info weging'!$A$36:$H$163,6,FALSE)</f>
        <v>#N/A</v>
      </c>
      <c r="AJ42" s="11" t="e">
        <f>VLOOKUP(N42,'info weging'!$A$36:$H$163,7,FALSE)</f>
        <v>#N/A</v>
      </c>
      <c r="AK42" s="11" t="e">
        <f>VLOOKUP(N42,'info weging'!$A$36:$H$163,8,FALSE)</f>
        <v>#N/A</v>
      </c>
      <c r="AL42" s="266" t="str">
        <f>IF(COUNTA(N42)=1,AE42*$AE$15+AF42*$AF$15+AG42*$AG$15+AH42*$AH$15+AI42*$AI$15+AJ42*$AJ$15+AK42*$AK$15,"----")</f>
        <v>----</v>
      </c>
      <c r="AM42" s="204"/>
      <c r="AN42" s="205">
        <f>'print Basis'!P37</f>
        <v>1</v>
      </c>
      <c r="AO42" s="204"/>
      <c r="AP42" s="623"/>
      <c r="AQ42" s="5"/>
      <c r="AR42" s="778"/>
      <c r="AS42" s="20"/>
      <c r="AT42" s="20"/>
      <c r="AU42" s="20"/>
      <c r="BYT42" s="299"/>
      <c r="BYU42" s="299"/>
      <c r="BYV42" s="299"/>
      <c r="BYW42" s="299"/>
      <c r="BYX42" s="299"/>
      <c r="BYY42" s="299"/>
      <c r="BYZ42" s="299"/>
      <c r="BZA42" s="299"/>
      <c r="BZB42" s="299"/>
      <c r="BZC42" s="299"/>
      <c r="BZD42" s="299"/>
      <c r="BZE42" s="299"/>
      <c r="BZF42" s="299"/>
      <c r="BZG42" s="299"/>
      <c r="BZH42" s="299"/>
      <c r="BZI42" s="299"/>
      <c r="BZJ42" s="299"/>
      <c r="BZK42" s="299"/>
      <c r="BZL42" s="299"/>
      <c r="BZM42" s="299"/>
      <c r="BZN42" s="299"/>
      <c r="BZO42" s="299"/>
      <c r="BZP42" s="299"/>
      <c r="BZQ42" s="299"/>
      <c r="BZR42" s="299"/>
      <c r="BZS42" s="299"/>
      <c r="BZT42" s="299"/>
      <c r="BZU42" s="299"/>
      <c r="BZV42" s="299"/>
      <c r="BZW42" s="299"/>
      <c r="BZX42" s="299"/>
      <c r="BZY42" s="299"/>
      <c r="BZZ42" s="280"/>
      <c r="CAA42" s="281"/>
      <c r="CAB42" s="281"/>
      <c r="CAC42" s="282"/>
    </row>
    <row r="43" spans="1:49 2022:2057" ht="12.6" customHeight="1" x14ac:dyDescent="0.65">
      <c r="L43" s="648"/>
      <c r="N43" s="116" t="e">
        <f t="shared" ref="N43:U43" si="11">BZJ63</f>
        <v>#N/A</v>
      </c>
      <c r="O43" s="116" t="e">
        <f t="shared" si="11"/>
        <v>#N/A</v>
      </c>
      <c r="P43" s="116" t="e">
        <f t="shared" si="11"/>
        <v>#N/A</v>
      </c>
      <c r="Q43" s="116" t="e">
        <f t="shared" si="11"/>
        <v>#N/A</v>
      </c>
      <c r="R43" s="116" t="e">
        <f t="shared" si="11"/>
        <v>#N/A</v>
      </c>
      <c r="S43" s="116" t="e">
        <f t="shared" si="11"/>
        <v>#N/A</v>
      </c>
      <c r="T43" s="116" t="e">
        <f t="shared" si="11"/>
        <v>#N/A</v>
      </c>
      <c r="U43" s="116" t="e">
        <f t="shared" si="11"/>
        <v>#N/A</v>
      </c>
      <c r="V43" s="116">
        <f t="shared" ref="V43:AP43" si="12">J55</f>
        <v>0</v>
      </c>
      <c r="W43" s="116">
        <f t="shared" si="12"/>
        <v>3</v>
      </c>
      <c r="X43" s="116" t="e">
        <f t="shared" si="12"/>
        <v>#N/A</v>
      </c>
      <c r="Y43" s="116">
        <f t="shared" si="12"/>
        <v>0</v>
      </c>
      <c r="Z43" s="116" t="str">
        <f t="shared" si="12"/>
        <v>Duurzaam gebruik van bestaande objecten, materialen, grondstoffen en natuurlijke processen</v>
      </c>
      <c r="AA43" s="116">
        <f t="shared" si="12"/>
        <v>0</v>
      </c>
      <c r="AB43" s="116">
        <f t="shared" si="12"/>
        <v>0</v>
      </c>
      <c r="AC43" s="116">
        <f t="shared" si="12"/>
        <v>0</v>
      </c>
      <c r="AD43" s="116">
        <f t="shared" si="12"/>
        <v>0</v>
      </c>
      <c r="AE43" s="116">
        <f t="shared" si="12"/>
        <v>0</v>
      </c>
      <c r="AF43" s="116">
        <f t="shared" si="12"/>
        <v>0</v>
      </c>
      <c r="AG43" s="116">
        <f t="shared" si="12"/>
        <v>0</v>
      </c>
      <c r="AH43" s="116">
        <f t="shared" si="12"/>
        <v>0</v>
      </c>
      <c r="AI43" s="116">
        <f t="shared" si="12"/>
        <v>0</v>
      </c>
      <c r="AJ43" s="116">
        <f t="shared" si="12"/>
        <v>0</v>
      </c>
      <c r="AK43" s="116">
        <f t="shared" si="12"/>
        <v>0</v>
      </c>
      <c r="AL43" s="116">
        <f t="shared" si="12"/>
        <v>0</v>
      </c>
      <c r="AM43" s="116">
        <f t="shared" si="12"/>
        <v>0</v>
      </c>
      <c r="AN43" s="116">
        <f t="shared" si="12"/>
        <v>0</v>
      </c>
      <c r="AO43" s="116">
        <f t="shared" si="12"/>
        <v>0</v>
      </c>
      <c r="AP43" s="624">
        <f t="shared" si="12"/>
        <v>0</v>
      </c>
      <c r="AR43" s="358"/>
      <c r="BYT43" s="299"/>
      <c r="BYU43" s="299"/>
      <c r="BYV43" s="299"/>
      <c r="BYW43" s="299"/>
      <c r="BYX43" s="299"/>
      <c r="BYY43" s="299"/>
      <c r="BYZ43" s="299"/>
      <c r="BZA43" s="299"/>
      <c r="BZB43" s="299"/>
      <c r="BZC43" s="299"/>
      <c r="BZD43" s="299"/>
      <c r="BZE43" s="299"/>
      <c r="BZF43" s="299"/>
      <c r="BZG43" s="299"/>
      <c r="BZH43" s="299"/>
      <c r="BZI43" s="299"/>
      <c r="BZJ43" s="299"/>
      <c r="BZK43" s="299"/>
      <c r="BZL43" s="299"/>
      <c r="BZM43" s="299"/>
      <c r="BZN43" s="299"/>
      <c r="BZO43" s="299"/>
      <c r="BZP43" s="299"/>
      <c r="BZQ43" s="299"/>
      <c r="BZR43" s="299"/>
      <c r="BZS43" s="299"/>
      <c r="BZT43" s="299"/>
      <c r="BZU43" s="299"/>
      <c r="BZV43" s="299"/>
      <c r="BZW43" s="299"/>
      <c r="BZX43" s="299"/>
      <c r="BZY43" s="299"/>
      <c r="BZZ43" s="280"/>
      <c r="CAA43" s="281"/>
      <c r="CAB43" s="281"/>
      <c r="CAC43" s="282"/>
    </row>
    <row r="44" spans="1:49 2022:2057" ht="21" x14ac:dyDescent="0.4">
      <c r="J44" s="112"/>
      <c r="K44" s="716" t="s">
        <v>384</v>
      </c>
      <c r="L44" s="717"/>
      <c r="M44" s="551" t="str">
        <f>IF(N44="","         optioneel: voor innovatieve additionele maatregelen max 10 punten. Vul hier aantal BONUS punten in (max 10).","")</f>
        <v xml:space="preserve">         optioneel: voor innovatieve additionele maatregelen max 10 punten. Vul hier aantal BONUS punten in (max 10).</v>
      </c>
      <c r="N44" s="718"/>
      <c r="O44" s="20"/>
      <c r="P44" s="472"/>
      <c r="Q44" s="472"/>
      <c r="R44" s="472"/>
      <c r="S44" s="472"/>
      <c r="T44" s="472"/>
      <c r="U44" s="472"/>
      <c r="V44" s="472"/>
      <c r="W44" s="472"/>
      <c r="X44" s="472"/>
      <c r="Y44" s="472"/>
      <c r="Z44" s="472"/>
      <c r="AA44" s="472"/>
      <c r="AB44" s="472"/>
      <c r="AC44" s="472"/>
      <c r="AD44" s="472"/>
      <c r="AE44" s="472"/>
      <c r="AF44" s="472"/>
      <c r="AG44" s="472"/>
      <c r="AH44" s="472"/>
      <c r="AI44" s="472"/>
      <c r="AJ44" s="472"/>
      <c r="AK44" s="472"/>
      <c r="AL44" s="734">
        <f>N44</f>
        <v>0</v>
      </c>
      <c r="AM44" s="203"/>
      <c r="AN44" s="201">
        <f>IF(AL44&lt;10.000001,100%,"max_10")</f>
        <v>1</v>
      </c>
      <c r="AO44" s="128"/>
      <c r="AP44" s="722">
        <f>IF(AL44&lt;10.0000001,AL44,10)</f>
        <v>0</v>
      </c>
      <c r="AQ44" s="723" t="str">
        <f>IF(AP44&gt;0,"             geef korte toelichting op waardering BONUS maatregel","")</f>
        <v/>
      </c>
      <c r="AR44" s="780"/>
      <c r="BYT44" s="299"/>
      <c r="BYU44" s="299"/>
      <c r="BYV44" s="299"/>
      <c r="BYW44" s="299"/>
      <c r="BYX44" s="299"/>
      <c r="BYY44" s="299"/>
      <c r="BYZ44" s="299"/>
      <c r="BZA44" s="299"/>
      <c r="BZB44" s="299"/>
      <c r="BZC44" s="662"/>
      <c r="BZD44" s="299"/>
      <c r="BZE44" s="299"/>
      <c r="BZF44" s="299"/>
      <c r="BZG44" s="299"/>
      <c r="BZH44" s="299"/>
      <c r="BZI44" s="299"/>
      <c r="BZJ44" s="299"/>
      <c r="BZK44" s="299"/>
      <c r="BZL44" s="299"/>
      <c r="BZM44" s="299"/>
      <c r="BZN44" s="299"/>
      <c r="BZO44" s="299"/>
      <c r="BZP44" s="299"/>
      <c r="BZQ44" s="299"/>
      <c r="BZR44" s="299"/>
      <c r="BZS44" s="299"/>
      <c r="BZT44" s="299"/>
      <c r="BZU44" s="299"/>
      <c r="BZV44" s="299"/>
      <c r="BZW44" s="299"/>
      <c r="BZX44" s="299"/>
      <c r="BZY44" s="299"/>
      <c r="BZZ44" s="280"/>
      <c r="CAA44" s="281"/>
      <c r="CAB44" s="281"/>
      <c r="CAC44" s="282"/>
    </row>
    <row r="45" spans="1:49 2022:2057" ht="8.4" customHeight="1" thickBot="1" x14ac:dyDescent="0.35">
      <c r="J45" s="113"/>
      <c r="K45" s="4"/>
      <c r="L45" s="4"/>
      <c r="M45" s="4"/>
      <c r="X45" s="32" t="s">
        <v>30</v>
      </c>
      <c r="Y45" s="32" t="s">
        <v>31</v>
      </c>
      <c r="Z45" s="32" t="s">
        <v>32</v>
      </c>
      <c r="AA45" s="32" t="s">
        <v>33</v>
      </c>
      <c r="AB45" s="32" t="s">
        <v>34</v>
      </c>
      <c r="AC45" s="32" t="s">
        <v>35</v>
      </c>
      <c r="AE45" s="80" t="s">
        <v>30</v>
      </c>
      <c r="AF45" s="32" t="s">
        <v>31</v>
      </c>
      <c r="AG45" s="32" t="s">
        <v>32</v>
      </c>
      <c r="AH45" s="32" t="s">
        <v>33</v>
      </c>
      <c r="AI45" s="32" t="s">
        <v>34</v>
      </c>
      <c r="AJ45" s="32" t="s">
        <v>35</v>
      </c>
      <c r="AK45" s="32" t="s">
        <v>39</v>
      </c>
      <c r="AR45" s="37"/>
      <c r="BYT45" s="299"/>
      <c r="BYU45" s="299"/>
      <c r="BYV45" s="299"/>
      <c r="BYW45" s="299"/>
      <c r="BYX45" s="299"/>
      <c r="BYY45" s="299"/>
      <c r="BYZ45" s="299"/>
      <c r="BZA45" s="299"/>
      <c r="BZB45" s="299"/>
      <c r="BZC45" s="299"/>
      <c r="BZD45" s="299"/>
      <c r="BZE45" s="299"/>
      <c r="BZF45" s="299"/>
      <c r="BZG45" s="299"/>
      <c r="BZH45" s="299"/>
      <c r="BZI45" s="299"/>
      <c r="BZJ45" s="299"/>
      <c r="BZK45" s="299"/>
      <c r="BZL45" s="299"/>
      <c r="BZM45" s="299"/>
      <c r="BZN45" s="299"/>
      <c r="BZO45" s="299"/>
      <c r="BZP45" s="299"/>
      <c r="BZQ45" s="299"/>
      <c r="BZR45" s="299"/>
      <c r="BZS45" s="299"/>
      <c r="BZT45" s="299"/>
      <c r="BZU45" s="299"/>
      <c r="BZV45" s="299"/>
      <c r="BZW45" s="299"/>
      <c r="BZX45" s="299"/>
      <c r="BZY45" s="299"/>
      <c r="BZZ45" s="285"/>
      <c r="CAA45" s="286"/>
      <c r="CAB45" s="286"/>
      <c r="CAC45" s="287"/>
    </row>
    <row r="46" spans="1:49 2022:2057" ht="18" hidden="1" x14ac:dyDescent="0.35">
      <c r="J46" s="114"/>
      <c r="L46" s="47"/>
      <c r="AR46" s="37"/>
      <c r="BYT46" s="299"/>
      <c r="BYU46" s="299"/>
      <c r="BYV46" s="299"/>
      <c r="BYW46" s="299"/>
      <c r="BYX46" s="299"/>
      <c r="BYY46" s="299"/>
      <c r="BYZ46" s="299"/>
      <c r="BZA46" s="299"/>
      <c r="BZB46" s="299"/>
      <c r="BZC46" s="299"/>
      <c r="BZD46" s="299"/>
      <c r="BZE46" s="299"/>
      <c r="BZF46" s="299"/>
      <c r="BZG46" s="299"/>
      <c r="BZH46" s="299"/>
      <c r="BZI46" s="299"/>
      <c r="BZJ46" s="299"/>
      <c r="BZK46" s="299"/>
      <c r="BZL46" s="299"/>
      <c r="BZM46" s="299"/>
      <c r="BZN46" s="299"/>
      <c r="BZO46" s="299"/>
      <c r="BZP46" s="299"/>
      <c r="BZQ46" s="299"/>
      <c r="BZR46" s="299"/>
      <c r="BZS46" s="299"/>
      <c r="BZT46" s="299"/>
      <c r="BZU46" s="299"/>
      <c r="BZV46" s="299"/>
      <c r="BZW46" s="299"/>
      <c r="BZX46" s="299"/>
      <c r="BZY46" s="299"/>
    </row>
    <row r="47" spans="1:49 2022:2057" ht="18" hidden="1" x14ac:dyDescent="0.35">
      <c r="J47" s="114"/>
      <c r="K47" s="180">
        <f>'print Basis'!G11</f>
        <v>2</v>
      </c>
      <c r="L47" s="206" t="str">
        <f>"Samenvatting resultaten Procesmonitor Circulaire Peiler van de"&amp;" "&amp;N8</f>
        <v>Samenvatting resultaten Procesmonitor Circulaire Peiler van de verkenningsfase</v>
      </c>
      <c r="M47" s="179"/>
      <c r="N47" s="206"/>
      <c r="O47" s="179"/>
      <c r="P47" s="179"/>
      <c r="Q47" s="179"/>
      <c r="R47" s="179"/>
      <c r="S47" s="179"/>
      <c r="T47" s="179"/>
      <c r="U47" s="179"/>
      <c r="V47" s="179"/>
      <c r="W47" s="179"/>
      <c r="X47" s="179"/>
      <c r="Y47" s="179"/>
      <c r="Z47" s="179"/>
      <c r="AA47" s="179"/>
      <c r="AB47" s="179"/>
      <c r="AC47" s="179"/>
      <c r="AD47" s="179"/>
      <c r="AE47" s="179"/>
      <c r="AF47" s="179"/>
      <c r="AG47" s="179"/>
      <c r="AH47" s="179"/>
      <c r="AI47" s="179"/>
      <c r="AJ47" s="179"/>
      <c r="AK47" s="179"/>
      <c r="AL47" s="179"/>
      <c r="AM47" s="179"/>
      <c r="AN47" s="182"/>
      <c r="AO47" s="179"/>
      <c r="AP47" s="625"/>
      <c r="AR47" s="358"/>
      <c r="BYT47" s="299"/>
      <c r="BYU47" s="299"/>
      <c r="BYV47" s="299"/>
      <c r="BYW47" s="299"/>
      <c r="BYX47" s="299"/>
      <c r="BYY47" s="299"/>
      <c r="BYZ47" s="299"/>
      <c r="BZA47" s="299"/>
      <c r="BZB47" s="299"/>
      <c r="BZC47" s="299"/>
      <c r="BZD47" s="299"/>
      <c r="BZE47" s="299"/>
      <c r="BZF47" s="299"/>
      <c r="BZG47" s="299"/>
      <c r="BZH47" s="299"/>
      <c r="BZI47" s="299"/>
      <c r="BZJ47" s="299"/>
      <c r="BZK47" s="299"/>
      <c r="BZL47" s="299"/>
      <c r="BZM47" s="299"/>
      <c r="BZN47" s="299"/>
      <c r="BZO47" s="299"/>
      <c r="BZP47" s="299"/>
      <c r="BZQ47" s="299"/>
      <c r="BZR47" s="299"/>
      <c r="BZS47" s="299"/>
      <c r="BZT47" s="299"/>
      <c r="BZU47" s="299"/>
      <c r="BZV47" s="299"/>
      <c r="BZW47" s="299"/>
      <c r="BZX47" s="299"/>
      <c r="BZY47" s="299"/>
    </row>
    <row r="48" spans="1:49 2022:2057" ht="18" hidden="1" x14ac:dyDescent="0.35">
      <c r="J48" s="114"/>
      <c r="K48" s="119"/>
      <c r="L48" s="233" t="str">
        <f>'print Basis'!G8</f>
        <v>Projectnaam</v>
      </c>
      <c r="M48" s="81"/>
      <c r="N48" s="234" t="str">
        <f>'print Basis'!G10</f>
        <v>invoer Basis</v>
      </c>
      <c r="O48" s="81"/>
      <c r="P48" s="81"/>
      <c r="Q48" s="81"/>
      <c r="R48" s="81"/>
      <c r="S48" s="81"/>
      <c r="T48" s="81"/>
      <c r="U48" s="81"/>
      <c r="V48" s="81"/>
      <c r="W48" s="81"/>
      <c r="X48" s="81"/>
      <c r="Y48" s="81"/>
      <c r="Z48" s="81"/>
      <c r="AA48" s="81"/>
      <c r="AB48" s="81"/>
      <c r="AC48" s="81"/>
      <c r="AD48" s="81"/>
      <c r="AE48" s="81"/>
      <c r="AF48" s="81"/>
      <c r="AG48" s="81"/>
      <c r="AH48" s="81"/>
      <c r="AI48" s="81"/>
      <c r="AJ48" s="81"/>
      <c r="AK48" s="81"/>
      <c r="AL48" s="81"/>
      <c r="AM48" s="81"/>
      <c r="AN48" s="165"/>
      <c r="AO48" s="81"/>
      <c r="AP48" s="626"/>
      <c r="AR48" s="358"/>
      <c r="BYT48" s="299"/>
      <c r="BYU48" s="299"/>
      <c r="BYV48" s="299"/>
      <c r="BYW48" s="299"/>
      <c r="BYX48" s="299"/>
      <c r="BYY48" s="299"/>
      <c r="BYZ48" s="299"/>
      <c r="BZA48" s="299"/>
      <c r="BZB48" s="299"/>
      <c r="BZC48" s="299"/>
      <c r="BZD48" s="299"/>
      <c r="BZE48" s="299"/>
      <c r="BZF48" s="299"/>
      <c r="BZG48" s="299"/>
      <c r="BZH48" s="299"/>
      <c r="BZI48" s="299"/>
      <c r="BZJ48" s="299"/>
      <c r="BZK48" s="299"/>
      <c r="BZL48" s="299"/>
      <c r="BZM48" s="299"/>
      <c r="BZN48" s="299"/>
      <c r="BZO48" s="299"/>
      <c r="BZP48" s="299"/>
      <c r="BZQ48" s="299"/>
      <c r="BZR48" s="299"/>
      <c r="BZS48" s="299"/>
      <c r="BZT48" s="299"/>
      <c r="BZU48" s="299"/>
      <c r="BZV48" s="299"/>
      <c r="BZW48" s="299"/>
      <c r="BZX48" s="299"/>
      <c r="BZY48" s="299"/>
    </row>
    <row r="49" spans="10:44 2022:2053" ht="18" hidden="1" x14ac:dyDescent="0.35">
      <c r="J49" s="114"/>
      <c r="K49" s="30"/>
      <c r="L49" s="47" t="s">
        <v>114</v>
      </c>
      <c r="M49" s="20"/>
      <c r="N49" s="181" t="e">
        <f>ROUND('D1'!L61,0)</f>
        <v>#N/A</v>
      </c>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183"/>
      <c r="AO49" s="20"/>
      <c r="AP49" s="627"/>
      <c r="AR49" s="358"/>
      <c r="BYT49" s="299"/>
      <c r="BYU49" s="299"/>
      <c r="BYV49" s="299"/>
      <c r="BYW49" s="299"/>
      <c r="BYX49" s="299"/>
      <c r="BYY49" s="299"/>
      <c r="BYZ49" s="299"/>
      <c r="BZA49" s="299"/>
      <c r="BZB49" s="299"/>
      <c r="BZC49" s="299"/>
      <c r="BZD49" s="299"/>
      <c r="BZE49" s="299"/>
      <c r="BZF49" s="299"/>
      <c r="BZG49" s="299"/>
      <c r="BZH49" s="299"/>
      <c r="BZI49" s="299"/>
      <c r="BZJ49" s="299"/>
      <c r="BZK49" s="299"/>
      <c r="BZL49" s="299"/>
      <c r="BZM49" s="299"/>
      <c r="BZN49" s="299"/>
      <c r="BZO49" s="299"/>
      <c r="BZP49" s="299"/>
      <c r="BZQ49" s="299"/>
      <c r="BZR49" s="299"/>
      <c r="BZS49" s="299"/>
      <c r="BZT49" s="299"/>
      <c r="BZU49" s="299"/>
      <c r="BZV49" s="299"/>
      <c r="BZW49" s="299"/>
      <c r="BZX49" s="299"/>
      <c r="BZY49" s="299"/>
    </row>
    <row r="50" spans="10:44 2022:2053" hidden="1" x14ac:dyDescent="0.3">
      <c r="J50" s="114"/>
      <c r="K50" s="3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183"/>
      <c r="AO50" s="20"/>
      <c r="AP50" s="627"/>
      <c r="AR50" s="358"/>
      <c r="BYT50" s="299"/>
      <c r="BYU50" s="299"/>
      <c r="BYV50" s="299"/>
      <c r="BYW50" s="299"/>
      <c r="BYX50" s="299"/>
      <c r="BYY50" s="299"/>
      <c r="BYZ50" s="299"/>
      <c r="BZA50" s="299"/>
      <c r="BZB50" s="299"/>
      <c r="BZC50" s="299"/>
      <c r="BZD50" s="299"/>
      <c r="BZE50" s="299"/>
      <c r="BZF50" s="299"/>
      <c r="BZG50" s="299"/>
      <c r="BZH50" s="299"/>
      <c r="BZI50" s="299"/>
      <c r="BZJ50" s="299"/>
      <c r="BZK50" s="299"/>
      <c r="BZL50" s="299"/>
      <c r="BZM50" s="299"/>
      <c r="BZN50" s="299"/>
      <c r="BZO50" s="299"/>
      <c r="BZP50" s="299"/>
      <c r="BZQ50" s="299"/>
      <c r="BZR50" s="299"/>
      <c r="BZS50" s="299"/>
      <c r="BZT50" s="299"/>
      <c r="BZU50" s="299"/>
      <c r="BZV50" s="299"/>
      <c r="BZW50" s="299"/>
      <c r="BZX50" s="299"/>
      <c r="BZY50" s="299"/>
    </row>
    <row r="51" spans="10:44 2022:2053" ht="13.95" hidden="1" customHeight="1" x14ac:dyDescent="0.3">
      <c r="J51" s="114"/>
      <c r="K51" s="31"/>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184"/>
      <c r="AO51" s="38"/>
      <c r="AP51" s="628"/>
      <c r="AR51" s="358"/>
      <c r="BYT51" s="299"/>
      <c r="BYU51" s="299"/>
      <c r="BYV51" s="299"/>
      <c r="BYW51" s="299"/>
      <c r="BYX51" s="299"/>
      <c r="BYY51" s="299"/>
      <c r="BYZ51" s="299"/>
      <c r="BZA51" s="299"/>
      <c r="BZB51" s="299"/>
      <c r="BZC51" s="299"/>
      <c r="BZD51" s="299"/>
      <c r="BZE51" s="299"/>
      <c r="BZF51" s="299"/>
      <c r="BZG51" s="299"/>
      <c r="BZH51" s="299"/>
      <c r="BZI51" s="299"/>
      <c r="BZJ51" s="299"/>
      <c r="BZK51" s="299"/>
      <c r="BZL51" s="299"/>
      <c r="BZM51" s="299"/>
      <c r="BZN51" s="299"/>
      <c r="BZO51" s="299"/>
      <c r="BZP51" s="299"/>
      <c r="BZQ51" s="299"/>
      <c r="BZR51" s="299"/>
      <c r="BZS51" s="299"/>
      <c r="BZT51" s="299"/>
      <c r="BZU51" s="299"/>
      <c r="BZV51" s="299"/>
      <c r="BZW51" s="299"/>
      <c r="BZX51" s="299"/>
      <c r="BZY51" s="299"/>
    </row>
    <row r="52" spans="10:44 2022:2053" ht="18" hidden="1" x14ac:dyDescent="0.35">
      <c r="J52" s="114"/>
      <c r="K52" s="185"/>
      <c r="L52" s="473" t="s">
        <v>115</v>
      </c>
      <c r="M52" s="186"/>
      <c r="N52" s="187" t="s">
        <v>116</v>
      </c>
      <c r="O52" s="81"/>
      <c r="P52" s="81"/>
      <c r="Q52" s="81"/>
      <c r="R52" s="81"/>
      <c r="S52" s="81"/>
      <c r="T52" s="81"/>
      <c r="U52" s="81"/>
      <c r="V52" s="81"/>
      <c r="W52" s="81"/>
      <c r="X52" s="81"/>
      <c r="Y52" s="81"/>
      <c r="Z52" s="81"/>
      <c r="AA52" s="81"/>
      <c r="AB52" s="81"/>
      <c r="AC52" s="81"/>
      <c r="AD52" s="81"/>
      <c r="AE52" s="81"/>
      <c r="AF52" s="81"/>
      <c r="AG52" s="81"/>
      <c r="AH52" s="81"/>
      <c r="AI52" s="81"/>
      <c r="AJ52" s="81"/>
      <c r="AK52" s="81"/>
      <c r="AL52" s="81"/>
      <c r="AM52" s="81"/>
      <c r="AN52" s="165"/>
      <c r="AO52" s="81"/>
      <c r="AP52" s="629" t="str">
        <f>"Circulaire Peiler "&amp;'print Basis'!O5 &amp;"   "&amp; 'print Basis'!P5</f>
        <v>Circulaire Peiler ?   ?</v>
      </c>
      <c r="AR52" s="358"/>
      <c r="BYT52" s="299"/>
      <c r="BYU52" s="299"/>
      <c r="BYV52" s="299"/>
      <c r="BYW52" s="299"/>
      <c r="BYX52" s="299"/>
      <c r="BYY52" s="299"/>
      <c r="BYZ52" s="299"/>
      <c r="BZA52" s="299"/>
      <c r="BZB52" s="299"/>
      <c r="BZC52" s="299"/>
      <c r="BZD52" s="299"/>
      <c r="BZE52" s="299"/>
      <c r="BZF52" s="299"/>
      <c r="BZG52" s="299"/>
      <c r="BZH52" s="299"/>
      <c r="BZI52" s="664" t="s">
        <v>117</v>
      </c>
      <c r="BZJ52" s="664"/>
      <c r="BZK52" s="664">
        <v>1</v>
      </c>
      <c r="BZL52" s="664">
        <v>2</v>
      </c>
      <c r="BZM52" s="664">
        <v>3</v>
      </c>
      <c r="BZN52" s="664">
        <v>4</v>
      </c>
      <c r="BZO52" s="664">
        <v>5</v>
      </c>
      <c r="BZP52" s="664">
        <v>6</v>
      </c>
      <c r="BZQ52" s="664">
        <v>7</v>
      </c>
      <c r="BZR52" s="299"/>
      <c r="BZS52" s="299"/>
      <c r="BZT52" s="299"/>
      <c r="BZU52" s="299"/>
      <c r="BZV52" s="299"/>
      <c r="BZW52" s="299"/>
      <c r="BZX52" s="299"/>
      <c r="BZY52" s="299"/>
    </row>
    <row r="53" spans="10:44 2022:2053" ht="18" hidden="1" customHeight="1" x14ac:dyDescent="0.35">
      <c r="J53" s="114"/>
      <c r="K53" s="563">
        <v>1</v>
      </c>
      <c r="L53" s="82" t="e">
        <f t="shared" ref="L53:L60" si="13">BZJ54</f>
        <v>#N/A</v>
      </c>
      <c r="M53" s="48"/>
      <c r="N53" s="47" t="str">
        <f t="shared" ref="N53:N60" si="14">BZI54</f>
        <v>Voorkómen: niet doen wat echt niet hoeft</v>
      </c>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183"/>
      <c r="AO53" s="20"/>
      <c r="AP53" s="627"/>
      <c r="AR53" s="37"/>
      <c r="BYT53" s="299"/>
      <c r="BYU53" s="299"/>
      <c r="BYV53" s="299"/>
      <c r="BYW53" s="299"/>
      <c r="BYX53" s="299"/>
      <c r="BYY53" s="299"/>
      <c r="BYZ53" s="299"/>
      <c r="BZA53" s="299"/>
      <c r="BZB53" s="299"/>
      <c r="BZC53" s="299"/>
      <c r="BZD53" s="299"/>
      <c r="BZE53" s="299"/>
      <c r="BZF53" s="299"/>
      <c r="BZG53" s="299"/>
      <c r="BZH53" s="299"/>
      <c r="BZI53" s="299"/>
      <c r="BZJ53" s="667" t="e">
        <f>""&amp;N47&amp;" CPI="&amp;BZJ63&amp;" (CPI2030=100)"</f>
        <v>#N/A</v>
      </c>
      <c r="BZK53" s="667" t="e">
        <f>"circulair peil verkenningsfase CP="&amp;BZJ63&amp;" (CP2030=100); indic. KRW-oost"</f>
        <v>#N/A</v>
      </c>
      <c r="BZL53" s="667" t="e">
        <f>"verkenningsfase scoort: "&amp;BZL63&amp;"% van de circulaire doelstelling 2030"</f>
        <v>#N/A</v>
      </c>
      <c r="BZM53" s="667" t="e">
        <f>"planuitwerkingsfase scoort: "&amp;BZM63&amp;"% van de circulaire doelstelling 2030"</f>
        <v>#N/A</v>
      </c>
      <c r="BZN53" s="667" t="e">
        <f>"contractvormingsfase scoort: "&amp;BZN63&amp;"% van de circadlaire doelstelling 2030"</f>
        <v>#N/A</v>
      </c>
      <c r="BZO53" s="667" t="e">
        <f>"realisatiefase scoort: "&amp;BZO63&amp;"% ahan de circulaire doelstelling 2030"</f>
        <v>#N/A</v>
      </c>
      <c r="BZP53" s="667" t="e">
        <f>"beheer/onderhoudsfase scoort: "&amp;BZP63&amp;"% van de circulaire doelstelling 2030"</f>
        <v>#N/A</v>
      </c>
      <c r="BZQ53" s="667" t="s">
        <v>118</v>
      </c>
      <c r="BZR53" s="299"/>
      <c r="BZS53" s="299"/>
      <c r="BZT53" s="299"/>
      <c r="BZU53" s="299"/>
      <c r="BZV53" s="299"/>
      <c r="BZW53" s="299"/>
      <c r="BZX53" s="299"/>
      <c r="BZY53" s="299"/>
    </row>
    <row r="54" spans="10:44 2022:2053" ht="18" hidden="1" x14ac:dyDescent="0.35">
      <c r="J54" s="114"/>
      <c r="K54" s="270">
        <v>2</v>
      </c>
      <c r="L54" s="82" t="e">
        <f t="shared" si="13"/>
        <v>#N/A</v>
      </c>
      <c r="M54" s="48"/>
      <c r="N54" s="47" t="str">
        <f t="shared" si="14"/>
        <v>Verleng de levensduur van bestaande objecten of componenten</v>
      </c>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183"/>
      <c r="AO54" s="20"/>
      <c r="AP54" s="627"/>
      <c r="AR54" s="37"/>
      <c r="BYT54" s="299"/>
      <c r="BYU54" s="299"/>
      <c r="BYV54" s="299"/>
      <c r="BYW54" s="299"/>
      <c r="BYX54" s="299"/>
      <c r="BYY54" s="299"/>
      <c r="BYZ54" s="299"/>
      <c r="BZA54" s="299"/>
      <c r="BZB54" s="299"/>
      <c r="BZC54" s="299"/>
      <c r="BZD54" s="299"/>
      <c r="BZE54" s="299"/>
      <c r="BZF54" s="299"/>
      <c r="BZG54" s="299"/>
      <c r="BZH54" s="299"/>
      <c r="BZI54" s="668" t="str">
        <f>L23</f>
        <v>Voorkómen: niet doen wat echt niet hoeft</v>
      </c>
      <c r="BZJ54" s="669" t="e">
        <f t="shared" ref="BZJ54:BZJ62" si="15">BZK54*$BZK$64+BZL54*$BZL$64+BZM54*$BZM$64+BZN54*$BZN$64+BZO54*$BZO$64+BZP54*$BZP$64+$BZQ$64*BZQ54</f>
        <v>#N/A</v>
      </c>
      <c r="BZK54" s="669" t="e">
        <f>BYY24</f>
        <v>#N/A</v>
      </c>
      <c r="BZL54" s="669" t="e">
        <f>BZC24</f>
        <v>#N/A</v>
      </c>
      <c r="BZM54" s="669" t="e">
        <f>BZG24</f>
        <v>#N/A</v>
      </c>
      <c r="BZN54" s="669" t="e">
        <f>BZK24</f>
        <v>#N/A</v>
      </c>
      <c r="BZO54" s="669" t="e">
        <f>BZO24</f>
        <v>#N/A</v>
      </c>
      <c r="BZP54" s="669" t="e">
        <f>BZS24</f>
        <v>#N/A</v>
      </c>
      <c r="BZQ54" s="669" t="e">
        <f>BZW24</f>
        <v>#N/A</v>
      </c>
      <c r="BZR54" s="299"/>
      <c r="BZS54" s="299"/>
      <c r="BZT54" s="299"/>
      <c r="BZU54" s="299"/>
      <c r="BZV54" s="299"/>
      <c r="BZW54" s="299"/>
      <c r="BZX54" s="299"/>
      <c r="BZY54" s="299"/>
    </row>
    <row r="55" spans="10:44 2022:2053" ht="18" hidden="1" x14ac:dyDescent="0.35">
      <c r="J55" s="115"/>
      <c r="K55" s="171">
        <v>3</v>
      </c>
      <c r="L55" s="82" t="e">
        <f t="shared" si="13"/>
        <v>#N/A</v>
      </c>
      <c r="M55" s="48"/>
      <c r="N55" s="47" t="str">
        <f t="shared" si="14"/>
        <v>Duurzaam gebruik van bestaande objecten, materialen, grondstoffen en natuurlijke processen</v>
      </c>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183"/>
      <c r="AO55" s="20"/>
      <c r="AP55" s="627"/>
      <c r="AR55" s="37"/>
      <c r="BYT55" s="299"/>
      <c r="BYU55" s="299"/>
      <c r="BYV55" s="299"/>
      <c r="BYW55" s="299"/>
      <c r="BYX55" s="299"/>
      <c r="BYY55" s="299"/>
      <c r="BYZ55" s="299"/>
      <c r="BZA55" s="299"/>
      <c r="BZB55" s="299"/>
      <c r="BZC55" s="299"/>
      <c r="BZD55" s="299"/>
      <c r="BZE55" s="299"/>
      <c r="BZF55" s="299"/>
      <c r="BZG55" s="299"/>
      <c r="BZH55" s="299"/>
      <c r="BZI55" s="668" t="str">
        <f>L25</f>
        <v>Verleng de levensduur van bestaande objecten of componenten</v>
      </c>
      <c r="BZJ55" s="669" t="e">
        <f t="shared" si="15"/>
        <v>#N/A</v>
      </c>
      <c r="BZK55" s="669" t="e">
        <f>BYY25</f>
        <v>#N/A</v>
      </c>
      <c r="BZL55" s="669" t="e">
        <f>BZC25</f>
        <v>#N/A</v>
      </c>
      <c r="BZM55" s="669" t="e">
        <f>BZG25</f>
        <v>#N/A</v>
      </c>
      <c r="BZN55" s="669" t="e">
        <f>BZK25</f>
        <v>#N/A</v>
      </c>
      <c r="BZO55" s="669" t="e">
        <f>BZO25</f>
        <v>#N/A</v>
      </c>
      <c r="BZP55" s="669" t="e">
        <f>BZS25</f>
        <v>#N/A</v>
      </c>
      <c r="BZQ55" s="669" t="e">
        <f>BZW25</f>
        <v>#N/A</v>
      </c>
      <c r="BZR55" s="299"/>
      <c r="BZS55" s="299"/>
      <c r="BZT55" s="299"/>
      <c r="BZU55" s="299"/>
      <c r="BZV55" s="299"/>
      <c r="BZW55" s="299"/>
      <c r="BZX55" s="299"/>
      <c r="BZY55" s="299"/>
    </row>
    <row r="56" spans="10:44 2022:2053" ht="18" hidden="1" x14ac:dyDescent="0.35">
      <c r="J56" s="12"/>
      <c r="K56" s="172">
        <v>4</v>
      </c>
      <c r="L56" s="82" t="e">
        <f t="shared" si="13"/>
        <v>#N/A</v>
      </c>
      <c r="M56" s="48"/>
      <c r="N56" s="47" t="str">
        <f t="shared" si="14"/>
        <v>Ontwerp voor meerdere levenscycli</v>
      </c>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183"/>
      <c r="AO56" s="20"/>
      <c r="AP56" s="627"/>
      <c r="AR56" s="37"/>
      <c r="BYT56" s="299"/>
      <c r="BYU56" s="299"/>
      <c r="BYV56" s="299"/>
      <c r="BYW56" s="299"/>
      <c r="BYX56" s="299"/>
      <c r="BYY56" s="299"/>
      <c r="BYZ56" s="299"/>
      <c r="BZA56" s="299"/>
      <c r="BZB56" s="299"/>
      <c r="BZC56" s="299"/>
      <c r="BZD56" s="299"/>
      <c r="BZE56" s="299"/>
      <c r="BZF56" s="299"/>
      <c r="BZG56" s="299"/>
      <c r="BZH56" s="299"/>
      <c r="BZI56" s="668" t="str">
        <f>L27</f>
        <v>Duurzaam gebruik van bestaande objecten, materialen, grondstoffen en natuurlijke processen</v>
      </c>
      <c r="BZJ56" s="669" t="e">
        <f t="shared" si="15"/>
        <v>#N/A</v>
      </c>
      <c r="BZK56" s="669" t="e">
        <f>SUM(BYY26:BYY28)</f>
        <v>#N/A</v>
      </c>
      <c r="BZL56" s="669" t="e">
        <f>SUM(BZC26:BZC28)</f>
        <v>#N/A</v>
      </c>
      <c r="BZM56" s="669" t="e">
        <f>SUM(BZG26:BZG28)</f>
        <v>#N/A</v>
      </c>
      <c r="BZN56" s="669" t="e">
        <f>SUM(BZK26:BZK28)</f>
        <v>#N/A</v>
      </c>
      <c r="BZO56" s="669" t="e">
        <f>SUM(BZO26:BZO28)</f>
        <v>#N/A</v>
      </c>
      <c r="BZP56" s="669" t="e">
        <f>SUM(BZS26:BZS28)</f>
        <v>#N/A</v>
      </c>
      <c r="BZQ56" s="669" t="e">
        <f>SUM(BZW26:BZW28)</f>
        <v>#N/A</v>
      </c>
      <c r="BZR56" s="299"/>
      <c r="BZS56" s="299"/>
      <c r="BZT56" s="299"/>
      <c r="BZU56" s="299"/>
      <c r="BZV56" s="299"/>
      <c r="BZW56" s="299"/>
      <c r="BZX56" s="299"/>
      <c r="BZY56" s="299"/>
    </row>
    <row r="57" spans="10:44 2022:2053" ht="18" hidden="1" x14ac:dyDescent="0.35">
      <c r="K57" s="269">
        <v>5</v>
      </c>
      <c r="L57" s="82" t="e">
        <f t="shared" si="13"/>
        <v>#N/A</v>
      </c>
      <c r="M57" s="48"/>
      <c r="N57" s="47" t="str">
        <f t="shared" si="14"/>
        <v>Ontwerp toekomstbestendig</v>
      </c>
      <c r="O57" s="20"/>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183"/>
      <c r="AO57" s="20"/>
      <c r="AP57" s="627"/>
      <c r="AR57" s="37"/>
      <c r="BYT57" s="299"/>
      <c r="BYU57" s="299"/>
      <c r="BYV57" s="299"/>
      <c r="BYW57" s="299"/>
      <c r="BYX57" s="299"/>
      <c r="BYY57" s="299"/>
      <c r="BYZ57" s="299"/>
      <c r="BZA57" s="299"/>
      <c r="BZB57" s="299"/>
      <c r="BZC57" s="299"/>
      <c r="BZD57" s="299"/>
      <c r="BZE57" s="299"/>
      <c r="BZF57" s="299"/>
      <c r="BZG57" s="299"/>
      <c r="BZH57" s="299"/>
      <c r="BZI57" s="668" t="str">
        <f>L31</f>
        <v>Ontwerp voor meerdere levenscycli</v>
      </c>
      <c r="BZJ57" s="669" t="e">
        <f t="shared" si="15"/>
        <v>#N/A</v>
      </c>
      <c r="BZK57" s="669" t="e">
        <f>BYY29+BYY30</f>
        <v>#N/A</v>
      </c>
      <c r="BZL57" s="669" t="e">
        <f>BZC29+BZC30</f>
        <v>#N/A</v>
      </c>
      <c r="BZM57" s="669" t="e">
        <f>BZG29+BZG30</f>
        <v>#N/A</v>
      </c>
      <c r="BZN57" s="669" t="e">
        <f>BZK29+BZK30</f>
        <v>#N/A</v>
      </c>
      <c r="BZO57" s="669" t="e">
        <f>BZO29+BZO30</f>
        <v>#N/A</v>
      </c>
      <c r="BZP57" s="669" t="e">
        <f>BZS29+BZS30</f>
        <v>#N/A</v>
      </c>
      <c r="BZQ57" s="669" t="e">
        <f>BZW29+BZW30</f>
        <v>#N/A</v>
      </c>
      <c r="BZR57" s="299"/>
      <c r="BZS57" s="299"/>
      <c r="BZT57" s="299"/>
      <c r="BZU57" s="299"/>
      <c r="BZV57" s="299"/>
      <c r="BZW57" s="299"/>
      <c r="BZX57" s="299"/>
      <c r="BZY57" s="299"/>
    </row>
    <row r="58" spans="10:44 2022:2053" ht="18" hidden="1" x14ac:dyDescent="0.35">
      <c r="K58" s="173">
        <v>6</v>
      </c>
      <c r="L58" s="82" t="e">
        <f t="shared" si="13"/>
        <v>#N/A</v>
      </c>
      <c r="M58" s="48"/>
      <c r="N58" s="47" t="str">
        <f t="shared" si="14"/>
        <v xml:space="preserve">Ontwerp voor optimaal beheer en onderhoud </v>
      </c>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183"/>
      <c r="AO58" s="20"/>
      <c r="AP58" s="627"/>
      <c r="AR58" s="37"/>
      <c r="BYT58" s="299"/>
      <c r="BYU58" s="299"/>
      <c r="BYV58" s="299"/>
      <c r="BYW58" s="299"/>
      <c r="BYX58" s="299"/>
      <c r="BYY58" s="299"/>
      <c r="BYZ58" s="299"/>
      <c r="BZA58" s="299"/>
      <c r="BZB58" s="299"/>
      <c r="BZC58" s="299"/>
      <c r="BZD58" s="299"/>
      <c r="BZE58" s="299"/>
      <c r="BZF58" s="299"/>
      <c r="BZG58" s="299"/>
      <c r="BZH58" s="299"/>
      <c r="BZI58" s="668" t="str">
        <f>L34</f>
        <v>Ontwerp toekomstbestendig</v>
      </c>
      <c r="BZJ58" s="669" t="e">
        <f t="shared" si="15"/>
        <v>#N/A</v>
      </c>
      <c r="BZK58" s="669" t="e">
        <f>BYY31</f>
        <v>#N/A</v>
      </c>
      <c r="BZL58" s="669" t="e">
        <f>BZC31</f>
        <v>#N/A</v>
      </c>
      <c r="BZM58" s="669" t="e">
        <f>BZG31</f>
        <v>#N/A</v>
      </c>
      <c r="BZN58" s="669" t="e">
        <f>BZK31</f>
        <v>#N/A</v>
      </c>
      <c r="BZO58" s="669" t="e">
        <f>BZO31</f>
        <v>#N/A</v>
      </c>
      <c r="BZP58" s="669" t="e">
        <f>BZS31</f>
        <v>#N/A</v>
      </c>
      <c r="BZQ58" s="669" t="e">
        <f>BZW31</f>
        <v>#N/A</v>
      </c>
      <c r="BZR58" s="299"/>
      <c r="BZS58" s="299"/>
      <c r="BZT58" s="299"/>
      <c r="BZU58" s="299"/>
      <c r="BZV58" s="299"/>
      <c r="BZW58" s="299"/>
      <c r="BZX58" s="299"/>
      <c r="BZY58" s="299"/>
    </row>
    <row r="59" spans="10:44 2022:2053" ht="18" hidden="1" x14ac:dyDescent="0.35">
      <c r="K59" s="174">
        <v>7</v>
      </c>
      <c r="L59" s="82" t="e">
        <f t="shared" si="13"/>
        <v>#N/A</v>
      </c>
      <c r="M59" s="48"/>
      <c r="N59" s="47" t="str">
        <f t="shared" si="14"/>
        <v>Duurzaam materiaalgebruik (hoeveel x milieubelasting)</v>
      </c>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183"/>
      <c r="AO59" s="20"/>
      <c r="AP59" s="627"/>
      <c r="AR59" s="37"/>
      <c r="BYT59" s="299"/>
      <c r="BYU59" s="299"/>
      <c r="BYV59" s="299"/>
      <c r="BYW59" s="299"/>
      <c r="BYX59" s="299"/>
      <c r="BYY59" s="299"/>
      <c r="BYZ59" s="299"/>
      <c r="BZA59" s="299"/>
      <c r="BZB59" s="299"/>
      <c r="BZC59" s="299"/>
      <c r="BZD59" s="299"/>
      <c r="BZE59" s="299"/>
      <c r="BZF59" s="299"/>
      <c r="BZG59" s="299"/>
      <c r="BZH59" s="299"/>
      <c r="BZI59" s="668" t="str">
        <f>L36</f>
        <v xml:space="preserve">Ontwerp voor optimaal beheer en onderhoud </v>
      </c>
      <c r="BZJ59" s="669" t="e">
        <f t="shared" si="15"/>
        <v>#N/A</v>
      </c>
      <c r="BZK59" s="669" t="e">
        <f>BYY32</f>
        <v>#N/A</v>
      </c>
      <c r="BZL59" s="669" t="e">
        <f>BZC32</f>
        <v>#N/A</v>
      </c>
      <c r="BZM59" s="669" t="e">
        <f>BZG32</f>
        <v>#N/A</v>
      </c>
      <c r="BZN59" s="669" t="e">
        <f>BZK32</f>
        <v>#N/A</v>
      </c>
      <c r="BZO59" s="669" t="e">
        <f>BZO32</f>
        <v>#N/A</v>
      </c>
      <c r="BZP59" s="669" t="e">
        <f>BZS32</f>
        <v>#N/A</v>
      </c>
      <c r="BZQ59" s="669" t="e">
        <f>BZW32</f>
        <v>#N/A</v>
      </c>
      <c r="BZR59" s="299"/>
      <c r="BZS59" s="299"/>
      <c r="BZT59" s="299"/>
      <c r="BZU59" s="299"/>
      <c r="BZV59" s="299"/>
      <c r="BZW59" s="299"/>
      <c r="BZX59" s="299"/>
      <c r="BZY59" s="299"/>
    </row>
    <row r="60" spans="10:44 2022:2053" ht="18" hidden="1" x14ac:dyDescent="0.35">
      <c r="K60" s="268">
        <v>8</v>
      </c>
      <c r="L60" s="82" t="e">
        <f t="shared" si="13"/>
        <v>#N/A</v>
      </c>
      <c r="M60" s="53"/>
      <c r="N60" s="47" t="str">
        <f t="shared" si="14"/>
        <v>Ontwerp voor minimaal grondstof- en energiegebruik in de aanleg/gebruiksfase</v>
      </c>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183"/>
      <c r="AO60" s="20"/>
      <c r="AP60" s="627"/>
      <c r="AR60" s="37"/>
      <c r="BYT60" s="299"/>
      <c r="BYU60" s="299"/>
      <c r="BYV60" s="299"/>
      <c r="BYW60" s="299"/>
      <c r="BYX60" s="299"/>
      <c r="BYY60" s="299"/>
      <c r="BYZ60" s="299"/>
      <c r="BZA60" s="299"/>
      <c r="BZB60" s="299"/>
      <c r="BZC60" s="299"/>
      <c r="BZD60" s="299"/>
      <c r="BZE60" s="299"/>
      <c r="BZF60" s="299"/>
      <c r="BZG60" s="299"/>
      <c r="BZH60" s="299"/>
      <c r="BZI60" s="668" t="str">
        <f>L38</f>
        <v>Duurzaam materiaalgebruik (hoeveel x milieubelasting)</v>
      </c>
      <c r="BZJ60" s="669" t="e">
        <f t="shared" si="15"/>
        <v>#N/A</v>
      </c>
      <c r="BZK60" s="669" t="e">
        <f>SUM(BYY33:BYY34)</f>
        <v>#N/A</v>
      </c>
      <c r="BZL60" s="669" t="e">
        <f>SUM(BZC33:BZC34)</f>
        <v>#N/A</v>
      </c>
      <c r="BZM60" s="669" t="e">
        <f>SUM(BZG33:BZG34)</f>
        <v>#N/A</v>
      </c>
      <c r="BZN60" s="669" t="e">
        <f>SUM(BZK33:BZK34)</f>
        <v>#N/A</v>
      </c>
      <c r="BZO60" s="669" t="e">
        <f>SUM(BZO33:BZO34)</f>
        <v>#N/A</v>
      </c>
      <c r="BZP60" s="669" t="e">
        <f>SUM(BZS33:BZS34)</f>
        <v>#N/A</v>
      </c>
      <c r="BZQ60" s="669" t="e">
        <f>SUM(BZW33:BZW34)</f>
        <v>#N/A</v>
      </c>
      <c r="BZR60" s="299"/>
      <c r="BZS60" s="299"/>
      <c r="BZT60" s="299"/>
      <c r="BZU60" s="299"/>
      <c r="BZV60" s="299"/>
      <c r="BZW60" s="299"/>
      <c r="BZX60" s="299"/>
      <c r="BZY60" s="299"/>
    </row>
    <row r="61" spans="10:44 2022:2053" ht="25.8" hidden="1" x14ac:dyDescent="0.5">
      <c r="K61" s="175" t="s">
        <v>48</v>
      </c>
      <c r="L61" s="83" t="e">
        <f>BZJ63</f>
        <v>#N/A</v>
      </c>
      <c r="M61" s="49" t="e">
        <f>BZJ63</f>
        <v>#N/A</v>
      </c>
      <c r="N61" s="50" t="s">
        <v>119</v>
      </c>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183"/>
      <c r="AO61" s="20"/>
      <c r="AP61" s="627"/>
      <c r="AR61" s="37"/>
      <c r="BYT61" s="299"/>
      <c r="BYU61" s="299"/>
      <c r="BYV61" s="299"/>
      <c r="BYW61" s="299"/>
      <c r="BYX61" s="299"/>
      <c r="BYY61" s="299"/>
      <c r="BYZ61" s="299"/>
      <c r="BZA61" s="299"/>
      <c r="BZB61" s="299"/>
      <c r="BZC61" s="299"/>
      <c r="BZD61" s="299"/>
      <c r="BZE61" s="299"/>
      <c r="BZF61" s="299"/>
      <c r="BZG61" s="299"/>
      <c r="BZH61" s="299"/>
      <c r="BZI61" s="668" t="str">
        <f>L41</f>
        <v>Ontwerp voor minimaal grondstof- en energiegebruik in de aanleg/gebruiksfase</v>
      </c>
      <c r="BZJ61" s="669" t="e">
        <f t="shared" si="15"/>
        <v>#N/A</v>
      </c>
      <c r="BZK61" s="669" t="e">
        <f>BYY35</f>
        <v>#N/A</v>
      </c>
      <c r="BZL61" s="669" t="e">
        <f>BZC35</f>
        <v>#N/A</v>
      </c>
      <c r="BZM61" s="669" t="e">
        <f>BZG35</f>
        <v>#N/A</v>
      </c>
      <c r="BZN61" s="669" t="e">
        <f>BZK35</f>
        <v>#N/A</v>
      </c>
      <c r="BZO61" s="669" t="e">
        <f>BZO35</f>
        <v>#N/A</v>
      </c>
      <c r="BZP61" s="669" t="e">
        <f>BZS35</f>
        <v>#N/A</v>
      </c>
      <c r="BZQ61" s="669" t="e">
        <f>BZW35</f>
        <v>#N/A</v>
      </c>
      <c r="BZR61" s="299"/>
      <c r="BZS61" s="299"/>
      <c r="BZT61" s="299"/>
      <c r="BZU61" s="299"/>
      <c r="BZV61" s="299"/>
      <c r="BZW61" s="299"/>
      <c r="BZX61" s="299"/>
      <c r="BZY61" s="299"/>
    </row>
    <row r="62" spans="10:44 2022:2053" ht="21" hidden="1" x14ac:dyDescent="0.4">
      <c r="K62" s="176"/>
      <c r="L62" s="177" t="e">
        <f>BZJ62</f>
        <v>#N/A</v>
      </c>
      <c r="M62" s="178" t="e">
        <f>BZJ62</f>
        <v>#N/A</v>
      </c>
      <c r="N62" s="188" t="s">
        <v>120</v>
      </c>
      <c r="O62" s="189"/>
      <c r="P62" s="189"/>
      <c r="Q62" s="189"/>
      <c r="R62" s="189"/>
      <c r="S62" s="189"/>
      <c r="T62" s="189"/>
      <c r="U62" s="38"/>
      <c r="V62" s="38"/>
      <c r="W62" s="38"/>
      <c r="X62" s="38"/>
      <c r="Y62" s="38"/>
      <c r="Z62" s="38"/>
      <c r="AA62" s="38"/>
      <c r="AB62" s="38"/>
      <c r="AC62" s="38"/>
      <c r="AD62" s="38"/>
      <c r="AE62" s="38"/>
      <c r="AF62" s="38"/>
      <c r="AG62" s="38"/>
      <c r="AH62" s="38"/>
      <c r="AI62" s="38"/>
      <c r="AJ62" s="38"/>
      <c r="AK62" s="38"/>
      <c r="AL62" s="38"/>
      <c r="AM62" s="38"/>
      <c r="AN62" s="184"/>
      <c r="AO62" s="38"/>
      <c r="AP62" s="628"/>
      <c r="AR62" s="37"/>
      <c r="BYT62" s="299"/>
      <c r="BYU62" s="299"/>
      <c r="BYV62" s="299"/>
      <c r="BYW62" s="299"/>
      <c r="BYX62" s="299"/>
      <c r="BYY62" s="299"/>
      <c r="BYZ62" s="299"/>
      <c r="BZA62" s="299"/>
      <c r="BZB62" s="299"/>
      <c r="BZC62" s="299"/>
      <c r="BZD62" s="299"/>
      <c r="BZE62" s="299"/>
      <c r="BZF62" s="299"/>
      <c r="BZG62" s="299"/>
      <c r="BZH62" s="299"/>
      <c r="BZI62" s="668" t="s">
        <v>121</v>
      </c>
      <c r="BZJ62" s="669" t="e">
        <f t="shared" si="15"/>
        <v>#N/A</v>
      </c>
      <c r="BZK62" s="669" t="e">
        <f>100-BZK63</f>
        <v>#N/A</v>
      </c>
      <c r="BZL62" s="669" t="e">
        <f>100-BZL63</f>
        <v>#N/A</v>
      </c>
      <c r="BZM62" s="669" t="e">
        <f t="shared" ref="BZM62:BZQ62" si="16">100-BZM63</f>
        <v>#N/A</v>
      </c>
      <c r="BZN62" s="669" t="e">
        <f t="shared" si="16"/>
        <v>#N/A</v>
      </c>
      <c r="BZO62" s="669" t="e">
        <f t="shared" si="16"/>
        <v>#N/A</v>
      </c>
      <c r="BZP62" s="669" t="e">
        <f t="shared" si="16"/>
        <v>#N/A</v>
      </c>
      <c r="BZQ62" s="669" t="e">
        <f t="shared" si="16"/>
        <v>#N/A</v>
      </c>
      <c r="BZR62" s="299"/>
      <c r="BZS62" s="299"/>
      <c r="BZT62" s="299"/>
      <c r="BZU62" s="299"/>
      <c r="BZV62" s="299"/>
      <c r="BZW62" s="299"/>
      <c r="BZX62" s="299"/>
      <c r="BZY62" s="299"/>
    </row>
    <row r="63" spans="10:44 2022:2053" ht="33.6" customHeight="1" x14ac:dyDescent="0.3">
      <c r="AR63" s="37"/>
      <c r="BYT63" s="299"/>
      <c r="BYU63" s="299"/>
      <c r="BYV63" s="299"/>
      <c r="BYW63" s="299"/>
      <c r="BYX63" s="299"/>
      <c r="BYY63" s="299"/>
      <c r="BYZ63" s="299"/>
      <c r="BZA63" s="299"/>
      <c r="BZB63" s="299"/>
      <c r="BZC63" s="299"/>
      <c r="BZD63" s="299"/>
      <c r="BZE63" s="299"/>
      <c r="BZF63" s="299"/>
      <c r="BZG63" s="299"/>
      <c r="BZH63" s="299"/>
      <c r="BZI63" s="299" t="s">
        <v>122</v>
      </c>
      <c r="BZJ63" s="670" t="e">
        <f>ROUND(SUM(BZJ54:BZJ61),0)</f>
        <v>#N/A</v>
      </c>
      <c r="BZK63" s="670" t="e">
        <f t="shared" ref="BZK63" si="17">SUM(BZK54:BZK61)</f>
        <v>#N/A</v>
      </c>
      <c r="BZL63" s="670" t="e">
        <f t="shared" ref="BZL63:BZQ63" si="18">SUM(BZL54:BZL61)</f>
        <v>#N/A</v>
      </c>
      <c r="BZM63" s="670" t="e">
        <f t="shared" si="18"/>
        <v>#N/A</v>
      </c>
      <c r="BZN63" s="670" t="e">
        <f t="shared" si="18"/>
        <v>#N/A</v>
      </c>
      <c r="BZO63" s="670" t="e">
        <f t="shared" si="18"/>
        <v>#N/A</v>
      </c>
      <c r="BZP63" s="670" t="e">
        <f t="shared" si="18"/>
        <v>#N/A</v>
      </c>
      <c r="BZQ63" s="670" t="e">
        <f t="shared" si="18"/>
        <v>#N/A</v>
      </c>
      <c r="BZR63" s="299"/>
      <c r="BZS63" s="299"/>
      <c r="BZT63" s="299"/>
      <c r="BZU63" s="299"/>
      <c r="BZV63" s="299"/>
      <c r="BZW63" s="299"/>
      <c r="BZX63" s="299"/>
      <c r="BZY63" s="299"/>
    </row>
    <row r="64" spans="10:44 2022:2053" x14ac:dyDescent="0.3">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183"/>
      <c r="AO64" s="20"/>
      <c r="AP64" s="126"/>
      <c r="AR64" s="37"/>
      <c r="BYT64" s="299"/>
      <c r="BYU64" s="299"/>
      <c r="BYV64" s="299"/>
      <c r="BYW64" s="299"/>
      <c r="BYX64" s="299"/>
      <c r="BYY64" s="299"/>
      <c r="BYZ64" s="299"/>
      <c r="BZA64" s="299"/>
      <c r="BZB64" s="299"/>
      <c r="BZC64" s="299"/>
      <c r="BZD64" s="299"/>
      <c r="BZE64" s="299"/>
      <c r="BZF64" s="299"/>
      <c r="BZG64" s="299"/>
      <c r="BZH64" s="299"/>
      <c r="BZI64" s="299"/>
      <c r="BZJ64" s="299"/>
      <c r="BZK64" s="299">
        <f t="shared" ref="BZK64:BZQ64" si="19">IF($K$47/BZK52=1,1,0)</f>
        <v>0</v>
      </c>
      <c r="BZL64" s="299">
        <f t="shared" si="19"/>
        <v>1</v>
      </c>
      <c r="BZM64" s="299">
        <f t="shared" si="19"/>
        <v>0</v>
      </c>
      <c r="BZN64" s="299">
        <f t="shared" si="19"/>
        <v>0</v>
      </c>
      <c r="BZO64" s="299">
        <f t="shared" si="19"/>
        <v>0</v>
      </c>
      <c r="BZP64" s="299">
        <f t="shared" si="19"/>
        <v>0</v>
      </c>
      <c r="BZQ64" s="299">
        <f t="shared" si="19"/>
        <v>0</v>
      </c>
      <c r="BZR64" s="299"/>
      <c r="BZS64" s="299"/>
      <c r="BZT64" s="299"/>
      <c r="BZU64" s="299"/>
      <c r="BZV64" s="299"/>
      <c r="BZW64" s="299"/>
      <c r="BZX64" s="299"/>
      <c r="BZY64" s="299"/>
    </row>
    <row r="65" spans="11:44 2022:2053" ht="18" x14ac:dyDescent="0.35">
      <c r="K65" s="593"/>
      <c r="L65" s="594" t="str">
        <f>"Referentiemonitor Circulaire Peiler - Overzicht MKI / MCI (CB'23) / CO2 quotiënten van de "&amp;N8</f>
        <v>Referentiemonitor Circulaire Peiler - Overzicht MKI / MCI (CB'23) / CO2 quotiënten van de verkenningsfase</v>
      </c>
      <c r="M65" s="595"/>
      <c r="N65" s="595"/>
      <c r="O65" s="595"/>
      <c r="P65" s="595"/>
      <c r="Q65" s="595"/>
      <c r="R65" s="595"/>
      <c r="S65" s="595"/>
      <c r="T65" s="595"/>
      <c r="U65" s="595"/>
      <c r="V65" s="595"/>
      <c r="W65" s="595"/>
      <c r="X65" s="595"/>
      <c r="Y65" s="595"/>
      <c r="Z65" s="595"/>
      <c r="AA65" s="595"/>
      <c r="AB65" s="595"/>
      <c r="AC65" s="595"/>
      <c r="AD65" s="595"/>
      <c r="AE65" s="595"/>
      <c r="AF65" s="595"/>
      <c r="AG65" s="595"/>
      <c r="AH65" s="595"/>
      <c r="AI65" s="595"/>
      <c r="AJ65" s="595"/>
      <c r="AK65" s="595"/>
      <c r="AL65" s="604" t="s">
        <v>319</v>
      </c>
      <c r="AM65" s="595"/>
      <c r="AN65" s="596"/>
      <c r="AO65" s="595"/>
      <c r="AP65" s="630"/>
      <c r="AR65" s="37"/>
      <c r="BYT65" s="299"/>
      <c r="BYU65" s="299"/>
      <c r="BYV65" s="299"/>
      <c r="BYW65" s="299"/>
      <c r="BYX65" s="299"/>
      <c r="BYY65" s="299"/>
      <c r="BYZ65" s="299"/>
      <c r="BZA65" s="299"/>
      <c r="BZB65" s="299"/>
      <c r="BZC65" s="299"/>
      <c r="BZD65" s="299"/>
      <c r="BZE65" s="299"/>
      <c r="BZF65" s="299"/>
      <c r="BZG65" s="299"/>
      <c r="BZH65" s="299"/>
      <c r="BZI65" s="299"/>
      <c r="BZJ65" s="299"/>
      <c r="BZK65" s="299"/>
      <c r="BZL65" s="299"/>
      <c r="BZM65" s="299"/>
      <c r="BZN65" s="299"/>
      <c r="BZO65" s="299"/>
      <c r="BZP65" s="299"/>
      <c r="BZQ65" s="299"/>
      <c r="BZR65" s="299"/>
      <c r="BZS65" s="299"/>
      <c r="BZT65" s="299"/>
      <c r="BZU65" s="299"/>
      <c r="BZV65" s="299"/>
      <c r="BZW65" s="299"/>
      <c r="BZX65" s="299"/>
      <c r="BZY65" s="299"/>
    </row>
    <row r="66" spans="11:44 2022:2053" ht="18" x14ac:dyDescent="0.35">
      <c r="K66" s="608" t="s">
        <v>123</v>
      </c>
      <c r="L66" s="474"/>
      <c r="M66" s="474"/>
      <c r="N66" s="474"/>
      <c r="O66" s="20"/>
      <c r="P66" s="20"/>
      <c r="Q66" s="20"/>
      <c r="R66" s="20"/>
      <c r="S66" s="20"/>
      <c r="T66" s="20"/>
      <c r="U66" s="20"/>
      <c r="V66" s="20"/>
      <c r="W66" s="20"/>
      <c r="X66" s="20"/>
      <c r="Y66" s="20"/>
      <c r="Z66" s="20"/>
      <c r="AA66" s="20"/>
      <c r="AB66" s="20"/>
      <c r="AC66" s="20"/>
      <c r="AD66" s="20"/>
      <c r="AE66" s="20"/>
      <c r="AF66" s="20"/>
      <c r="AG66" s="20"/>
      <c r="AH66" s="20"/>
      <c r="AI66" s="20"/>
      <c r="AJ66" s="20"/>
      <c r="AK66" s="20"/>
      <c r="AL66" s="609" t="str">
        <f>"MKI referentie = €"&amp;" "&amp;N68&amp;""</f>
        <v xml:space="preserve">MKI referentie = € </v>
      </c>
      <c r="AM66" s="612"/>
      <c r="AN66" s="613"/>
      <c r="AO66" s="612"/>
      <c r="AP66" s="631"/>
      <c r="AR66" s="37"/>
      <c r="BYT66" s="299"/>
      <c r="BYU66" s="299"/>
      <c r="BYV66" s="299"/>
      <c r="BYW66" s="299"/>
      <c r="BYX66" s="299"/>
      <c r="BYY66" s="299"/>
      <c r="BYZ66" s="299"/>
      <c r="BZA66" s="299"/>
      <c r="BZB66" s="299"/>
      <c r="BZC66" s="299"/>
      <c r="BZD66" s="299"/>
      <c r="BZE66" s="299"/>
      <c r="BZF66" s="299"/>
      <c r="BZG66" s="299"/>
      <c r="BZH66" s="299"/>
      <c r="BZI66" s="299"/>
      <c r="BZJ66" s="299"/>
      <c r="BZK66" s="299"/>
      <c r="BZL66" s="299"/>
      <c r="BZM66" s="299"/>
      <c r="BZN66" s="299"/>
      <c r="BZO66" s="299"/>
      <c r="BZP66" s="299"/>
      <c r="BZQ66" s="299"/>
      <c r="BZR66" s="299"/>
      <c r="BZS66" s="299"/>
      <c r="BZT66" s="299"/>
      <c r="BZU66" s="299"/>
      <c r="BZV66" s="299"/>
      <c r="BZW66" s="299"/>
      <c r="BZX66" s="299"/>
      <c r="BZY66" s="299"/>
    </row>
    <row r="67" spans="11:44 2022:2053" ht="18" x14ac:dyDescent="0.35">
      <c r="K67" s="597" t="s">
        <v>124</v>
      </c>
      <c r="L67" s="236"/>
      <c r="M67" s="551" t="str">
        <f>IF(N67="","         voer hier de MKI van het project in","")</f>
        <v xml:space="preserve">         voer hier de MKI van het project in</v>
      </c>
      <c r="N67" s="586"/>
      <c r="O67" s="20"/>
      <c r="P67" s="20"/>
      <c r="Q67" s="20"/>
      <c r="R67" s="20"/>
      <c r="S67" s="20"/>
      <c r="T67" s="20"/>
      <c r="U67" s="20"/>
      <c r="V67" s="20"/>
      <c r="W67" s="20"/>
      <c r="X67" s="20"/>
      <c r="Y67" s="20"/>
      <c r="Z67" s="20"/>
      <c r="AA67" s="20"/>
      <c r="AB67" s="20"/>
      <c r="AC67" s="20"/>
      <c r="AD67" s="20"/>
      <c r="AE67" s="20"/>
      <c r="AF67" s="20"/>
      <c r="AG67" s="20"/>
      <c r="AH67" s="20"/>
      <c r="AI67" s="20"/>
      <c r="AJ67" s="20"/>
      <c r="AK67" s="20"/>
      <c r="AL67" s="605" t="str">
        <f>"MKI reductie"</f>
        <v>MKI reductie</v>
      </c>
      <c r="AM67" s="20"/>
      <c r="AN67" s="259" t="str">
        <f>"MKI reductie t.o.v. referentie € "&amp;N68</f>
        <v xml:space="preserve">MKI reductie t.o.v. referentie € </v>
      </c>
      <c r="AO67" s="639" t="e">
        <f>1-AP67</f>
        <v>#VALUE!</v>
      </c>
      <c r="AP67" s="632" t="str">
        <f>IF(N68=0,"?",(1-N67/(N68+0.0000001)))</f>
        <v>?</v>
      </c>
      <c r="AR67" s="780"/>
      <c r="BYT67" s="299"/>
      <c r="BYU67" s="299"/>
      <c r="BYV67" s="299"/>
      <c r="BYW67" s="299"/>
      <c r="BYX67" s="299"/>
      <c r="BYY67" s="299"/>
      <c r="BYZ67" s="299"/>
      <c r="BZA67" s="299"/>
      <c r="BZB67" s="299"/>
      <c r="BZC67" s="299"/>
      <c r="BZD67" s="299"/>
      <c r="BZE67" s="299"/>
      <c r="BZF67" s="299"/>
      <c r="BZG67" s="299"/>
      <c r="BZH67" s="299"/>
      <c r="BZI67" s="299"/>
      <c r="BZJ67" s="299"/>
      <c r="BZK67" s="299"/>
      <c r="BZL67" s="299"/>
      <c r="BZM67" s="299"/>
      <c r="BZN67" s="299"/>
      <c r="BZO67" s="299"/>
      <c r="BZP67" s="299"/>
      <c r="BZQ67" s="299"/>
      <c r="BZR67" s="299"/>
      <c r="BZS67" s="299"/>
      <c r="BZT67" s="299"/>
      <c r="BZU67" s="299"/>
      <c r="BZV67" s="299"/>
      <c r="BZW67" s="299"/>
      <c r="BZX67" s="299"/>
      <c r="BZY67" s="299"/>
    </row>
    <row r="68" spans="11:44 2022:2053" ht="18" x14ac:dyDescent="0.35">
      <c r="K68" s="597" t="s">
        <v>125</v>
      </c>
      <c r="L68" s="236"/>
      <c r="M68" s="551" t="str">
        <f>IF(N68="","         voer hier de MKI van het referentieobject/project in","")</f>
        <v xml:space="preserve">         voer hier de MKI van het referentieobject/project in</v>
      </c>
      <c r="N68" s="586"/>
      <c r="O68" s="20"/>
      <c r="P68" s="20"/>
      <c r="Q68" s="20"/>
      <c r="R68" s="20"/>
      <c r="S68" s="20"/>
      <c r="T68" s="20"/>
      <c r="U68" s="20"/>
      <c r="V68" s="20"/>
      <c r="W68" s="20"/>
      <c r="X68" s="20"/>
      <c r="Y68" s="20"/>
      <c r="Z68" s="20"/>
      <c r="AA68" s="20"/>
      <c r="AB68" s="20"/>
      <c r="AC68" s="20"/>
      <c r="AD68" s="20"/>
      <c r="AE68" s="20"/>
      <c r="AF68" s="20"/>
      <c r="AG68" s="20"/>
      <c r="AH68" s="20"/>
      <c r="AI68" s="20"/>
      <c r="AJ68" s="20"/>
      <c r="AK68" s="20"/>
      <c r="AL68" s="236" t="s">
        <v>126</v>
      </c>
      <c r="AM68" s="20"/>
      <c r="AN68" s="183"/>
      <c r="AO68" s="20"/>
      <c r="AP68" s="633" t="str">
        <f>IF(AP67="?","?",N67/(N68+0.000001))</f>
        <v>?</v>
      </c>
      <c r="AR68" s="780"/>
    </row>
    <row r="69" spans="11:44 2022:2053" ht="18" x14ac:dyDescent="0.35">
      <c r="K69" s="598"/>
      <c r="L69" s="295"/>
      <c r="M69" s="295"/>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183"/>
      <c r="AO69" s="20"/>
      <c r="AP69" s="634" t="e">
        <f>1-AP67</f>
        <v>#VALUE!</v>
      </c>
      <c r="AR69" s="37"/>
    </row>
    <row r="70" spans="11:44 2022:2053" ht="18" x14ac:dyDescent="0.35">
      <c r="K70" s="607" t="s">
        <v>347</v>
      </c>
      <c r="L70" s="475"/>
      <c r="M70" s="475"/>
      <c r="N70" s="475"/>
      <c r="O70" s="20"/>
      <c r="P70" s="20"/>
      <c r="Q70" s="20"/>
      <c r="R70" s="20"/>
      <c r="S70" s="20"/>
      <c r="T70" s="20"/>
      <c r="U70" s="20"/>
      <c r="V70" s="20"/>
      <c r="W70" s="20"/>
      <c r="X70" s="20"/>
      <c r="Y70" s="20"/>
      <c r="Z70" s="20"/>
      <c r="AA70" s="20"/>
      <c r="AB70" s="20"/>
      <c r="AC70" s="20"/>
      <c r="AD70" s="20"/>
      <c r="AE70" s="20"/>
      <c r="AF70" s="20"/>
      <c r="AG70" s="20"/>
      <c r="AH70" s="20"/>
      <c r="AI70" s="20"/>
      <c r="AJ70" s="20"/>
      <c r="AK70" s="20"/>
      <c r="AL70" s="610" t="str">
        <f>"MCI referentie ="&amp;" "&amp;N72&amp;"[-]"</f>
        <v>MCI referentie = [-]</v>
      </c>
      <c r="AM70" s="614"/>
      <c r="AN70" s="615"/>
      <c r="AO70" s="614"/>
      <c r="AP70" s="635"/>
      <c r="AR70" s="37"/>
    </row>
    <row r="71" spans="11:44 2022:2053" ht="18" x14ac:dyDescent="0.35">
      <c r="K71" s="597" t="s">
        <v>345</v>
      </c>
      <c r="L71" s="236"/>
      <c r="M71" s="551" t="str">
        <f>IF(N71="","         voer hier de circulariteitsindex (CI) van het project in volgens bijlage G kernmeetmethode CB'23","")</f>
        <v xml:space="preserve">         voer hier de circulariteitsindex (CI) van het project in volgens bijlage G kernmeetmethode CB'23</v>
      </c>
      <c r="N71" s="652"/>
      <c r="O71" s="20"/>
      <c r="P71" s="20"/>
      <c r="Q71" s="20"/>
      <c r="R71" s="20"/>
      <c r="S71" s="20"/>
      <c r="T71" s="20"/>
      <c r="U71" s="20"/>
      <c r="V71" s="20"/>
      <c r="W71" s="20"/>
      <c r="X71" s="20"/>
      <c r="Y71" s="20"/>
      <c r="Z71" s="20"/>
      <c r="AA71" s="20"/>
      <c r="AB71" s="20"/>
      <c r="AC71" s="20"/>
      <c r="AD71" s="20"/>
      <c r="AE71" s="20"/>
      <c r="AF71" s="20"/>
      <c r="AG71" s="20"/>
      <c r="AH71" s="20"/>
      <c r="AI71" s="20"/>
      <c r="AJ71" s="20"/>
      <c r="AK71" s="20"/>
      <c r="AL71" s="605" t="str">
        <f>"MCI reductie"</f>
        <v>MCI reductie</v>
      </c>
      <c r="AM71" s="20"/>
      <c r="AN71" s="259" t="str">
        <f>"MCI reductie t.o.v. referentie "&amp;N72&amp;" [-]"</f>
        <v>MCI reductie t.o.v. referentie  [-]</v>
      </c>
      <c r="AO71" s="639" t="e">
        <f>1-AP71</f>
        <v>#VALUE!</v>
      </c>
      <c r="AP71" s="632" t="str">
        <f>IF(N72=0,"?",N71-N72)</f>
        <v>?</v>
      </c>
      <c r="AR71" s="780"/>
    </row>
    <row r="72" spans="11:44 2022:2053" ht="18" x14ac:dyDescent="0.35">
      <c r="K72" s="597" t="s">
        <v>346</v>
      </c>
      <c r="L72" s="236"/>
      <c r="M72" s="551" t="str">
        <f>IF(N72="","         voer hier de circulariteitsindex (MCI) van het referentieobject/project in volgens bijlage G kernmeetmethode CB'23","")</f>
        <v xml:space="preserve">         voer hier de circulariteitsindex (MCI) van het referentieobject/project in volgens bijlage G kernmeetmethode CB'23</v>
      </c>
      <c r="N72" s="653"/>
      <c r="O72" s="20"/>
      <c r="P72" s="20"/>
      <c r="Q72" s="20"/>
      <c r="R72" s="20"/>
      <c r="S72" s="20"/>
      <c r="T72" s="20"/>
      <c r="U72" s="20"/>
      <c r="V72" s="20"/>
      <c r="W72" s="20"/>
      <c r="X72" s="20"/>
      <c r="Y72" s="20"/>
      <c r="Z72" s="20"/>
      <c r="AA72" s="20"/>
      <c r="AB72" s="20"/>
      <c r="AC72" s="20"/>
      <c r="AD72" s="20"/>
      <c r="AE72" s="20"/>
      <c r="AF72" s="20"/>
      <c r="AG72" s="20"/>
      <c r="AH72" s="20"/>
      <c r="AI72" s="20"/>
      <c r="AJ72" s="20"/>
      <c r="AK72" s="20"/>
      <c r="AL72" s="236" t="s">
        <v>348</v>
      </c>
      <c r="AM72" s="20"/>
      <c r="AN72" s="183"/>
      <c r="AO72" s="20"/>
      <c r="AP72" s="633" t="str">
        <f>IF(AP71="?","?",1-AP71)</f>
        <v>?</v>
      </c>
      <c r="AR72" s="780"/>
    </row>
    <row r="73" spans="11:44 2022:2053" x14ac:dyDescent="0.3">
      <c r="K73" s="598"/>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183"/>
      <c r="AO73" s="20"/>
      <c r="AP73" s="634" t="e">
        <f>1-AP71</f>
        <v>#VALUE!</v>
      </c>
      <c r="AR73" s="37"/>
    </row>
    <row r="74" spans="11:44 2022:2053" ht="20.399999999999999" x14ac:dyDescent="0.45">
      <c r="K74" s="606" t="s">
        <v>320</v>
      </c>
      <c r="L74" s="476"/>
      <c r="M74" s="476"/>
      <c r="N74" s="476"/>
      <c r="O74" s="20"/>
      <c r="P74" s="20"/>
      <c r="Q74" s="20"/>
      <c r="R74" s="20"/>
      <c r="S74" s="20"/>
      <c r="T74" s="20"/>
      <c r="U74" s="20"/>
      <c r="V74" s="20"/>
      <c r="W74" s="20"/>
      <c r="X74" s="20"/>
      <c r="Y74" s="20"/>
      <c r="Z74" s="20"/>
      <c r="AA74" s="20"/>
      <c r="AB74" s="20"/>
      <c r="AC74" s="20"/>
      <c r="AD74" s="20"/>
      <c r="AE74" s="20"/>
      <c r="AF74" s="20"/>
      <c r="AG74" s="20"/>
      <c r="AH74" s="20"/>
      <c r="AI74" s="20"/>
      <c r="AJ74" s="20"/>
      <c r="AK74" s="20"/>
      <c r="AL74" s="611" t="str">
        <f>"CO2 referentie ="&amp;" "&amp;N76&amp;" ton CO2"</f>
        <v>CO2 referentie =  ton CO2</v>
      </c>
      <c r="AM74" s="139"/>
      <c r="AN74" s="616"/>
      <c r="AO74" s="139"/>
      <c r="AP74" s="636"/>
      <c r="AR74" s="37"/>
    </row>
    <row r="75" spans="11:44 2022:2053" ht="20.399999999999999" x14ac:dyDescent="0.45">
      <c r="K75" s="597" t="s">
        <v>310</v>
      </c>
      <c r="L75" s="236"/>
      <c r="M75" s="551" t="str">
        <f>IF(N75="","         voer hier de CO2 uitstoot van het project in","")</f>
        <v xml:space="preserve">         voer hier de CO2 uitstoot van het project in</v>
      </c>
      <c r="N75" s="586"/>
      <c r="O75" s="20"/>
      <c r="P75" s="20"/>
      <c r="Q75" s="20"/>
      <c r="R75" s="20"/>
      <c r="S75" s="20"/>
      <c r="T75" s="20"/>
      <c r="U75" s="20"/>
      <c r="V75" s="20"/>
      <c r="W75" s="20"/>
      <c r="X75" s="20"/>
      <c r="Y75" s="20"/>
      <c r="Z75" s="20"/>
      <c r="AA75" s="20"/>
      <c r="AB75" s="20"/>
      <c r="AC75" s="20"/>
      <c r="AD75" s="20"/>
      <c r="AE75" s="20"/>
      <c r="AF75" s="20"/>
      <c r="AG75" s="20"/>
      <c r="AH75" s="20"/>
      <c r="AI75" s="20"/>
      <c r="AJ75" s="20"/>
      <c r="AK75" s="20"/>
      <c r="AL75" s="592" t="str">
        <f>"CO2 reductie"</f>
        <v>CO2 reductie</v>
      </c>
      <c r="AM75" s="20"/>
      <c r="AN75" s="259" t="str">
        <f>"CO2 reductie t.o.v. referentie "&amp;N76&amp;" tonCO2"</f>
        <v>CO2 reductie t.o.v. referentie  tonCO2</v>
      </c>
      <c r="AO75" s="639" t="e">
        <f>1-AP75</f>
        <v>#VALUE!</v>
      </c>
      <c r="AP75" s="637" t="str">
        <f>IF(N76=0,"?",1-N75/(N76+0.0000001))</f>
        <v>?</v>
      </c>
      <c r="AR75" s="780"/>
    </row>
    <row r="76" spans="11:44 2022:2053" ht="17.399999999999999" customHeight="1" x14ac:dyDescent="0.45">
      <c r="K76" s="597" t="s">
        <v>311</v>
      </c>
      <c r="L76" s="236"/>
      <c r="M76" s="551" t="str">
        <f>IF(N76="","         voer hier de CO2 uitstoot van het referentieobject/project in","")</f>
        <v xml:space="preserve">         voer hier de CO2 uitstoot van het referentieobject/project in</v>
      </c>
      <c r="N76" s="587"/>
      <c r="O76" s="20"/>
      <c r="P76" s="20"/>
      <c r="Q76" s="20"/>
      <c r="R76" s="20"/>
      <c r="S76" s="20"/>
      <c r="T76" s="20"/>
      <c r="U76" s="20"/>
      <c r="V76" s="20"/>
      <c r="W76" s="20"/>
      <c r="X76" s="20"/>
      <c r="Y76" s="20"/>
      <c r="Z76" s="20"/>
      <c r="AA76" s="20"/>
      <c r="AB76" s="20"/>
      <c r="AC76" s="20"/>
      <c r="AD76" s="20"/>
      <c r="AE76" s="20"/>
      <c r="AF76" s="20"/>
      <c r="AG76" s="20"/>
      <c r="AH76" s="20"/>
      <c r="AI76" s="20"/>
      <c r="AJ76" s="20"/>
      <c r="AK76" s="20"/>
      <c r="AL76" s="236" t="s">
        <v>312</v>
      </c>
      <c r="AM76" s="20"/>
      <c r="AN76" s="183"/>
      <c r="AO76" s="20"/>
      <c r="AP76" s="633" t="str">
        <f>IF(AP75="?","?",N75/(N76+0.000001))</f>
        <v>?</v>
      </c>
      <c r="AR76" s="780"/>
    </row>
    <row r="77" spans="11:44 2022:2053" ht="14.4" customHeight="1" x14ac:dyDescent="0.35">
      <c r="K77" s="599"/>
      <c r="L77" s="600"/>
      <c r="M77" s="600"/>
      <c r="N77" s="601"/>
      <c r="O77" s="602"/>
      <c r="P77" s="602"/>
      <c r="Q77" s="602"/>
      <c r="R77" s="602"/>
      <c r="S77" s="602"/>
      <c r="T77" s="602"/>
      <c r="U77" s="602"/>
      <c r="V77" s="602"/>
      <c r="W77" s="602"/>
      <c r="X77" s="602"/>
      <c r="Y77" s="602"/>
      <c r="Z77" s="602"/>
      <c r="AA77" s="602"/>
      <c r="AB77" s="602"/>
      <c r="AC77" s="602"/>
      <c r="AD77" s="602"/>
      <c r="AE77" s="602"/>
      <c r="AF77" s="602"/>
      <c r="AG77" s="602"/>
      <c r="AH77" s="602"/>
      <c r="AI77" s="602"/>
      <c r="AJ77" s="602"/>
      <c r="AK77" s="602"/>
      <c r="AL77" s="602"/>
      <c r="AM77" s="602"/>
      <c r="AN77" s="603"/>
      <c r="AO77" s="602"/>
      <c r="AP77" s="638" t="e">
        <f>1-AP75</f>
        <v>#VALUE!</v>
      </c>
      <c r="AR77" s="37"/>
    </row>
    <row r="78" spans="11:44 2022:2053" ht="14.4" customHeight="1" x14ac:dyDescent="0.3">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183"/>
      <c r="AO78" s="20"/>
      <c r="AP78" s="126"/>
    </row>
    <row r="81" spans="12:43" ht="18" x14ac:dyDescent="0.35">
      <c r="L81" s="296"/>
      <c r="M81" s="296"/>
      <c r="O81" s="20"/>
      <c r="P81" s="20"/>
      <c r="Q81" s="20"/>
      <c r="R81" s="20"/>
      <c r="S81" s="20"/>
      <c r="T81" s="20"/>
      <c r="U81" s="20"/>
      <c r="V81" s="20"/>
      <c r="W81" s="20"/>
      <c r="X81" s="20"/>
      <c r="Y81" s="20"/>
      <c r="Z81" s="20"/>
      <c r="AA81" s="20"/>
      <c r="AB81" s="20"/>
      <c r="AC81" s="20"/>
      <c r="AD81" s="20"/>
      <c r="AE81" s="20"/>
      <c r="AF81" s="20"/>
      <c r="AG81" s="20"/>
      <c r="AH81" s="20"/>
      <c r="AI81" s="20"/>
      <c r="AJ81" s="20"/>
      <c r="AK81" s="20"/>
      <c r="AM81" s="20"/>
      <c r="AN81" s="183"/>
      <c r="AO81" s="20"/>
      <c r="AP81" s="126"/>
      <c r="AQ81" s="183"/>
    </row>
    <row r="82" spans="12:43" x14ac:dyDescent="0.3">
      <c r="L82" s="20"/>
      <c r="M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183"/>
      <c r="AO82" s="20"/>
      <c r="AP82" s="126"/>
      <c r="AQ82" s="183"/>
    </row>
    <row r="88" spans="12:43" ht="21" x14ac:dyDescent="0.4">
      <c r="L88" s="40"/>
    </row>
  </sheetData>
  <sheetProtection algorithmName="SHA-512" hashValue="4cK0hxc9U/+bVodFrTptWDqNutPd6aoxVhktLX+/ois3wiLxYFTrkW2qxK64xQ+e7UreM4FB6zcgZy+nmj00OA==" saltValue="NxQNngLevt/y4IseMsvNRA==" spinCount="100000" sheet="1" objects="1" scenarios="1"/>
  <conditionalFormatting sqref="AE24:AJ24 AE26:AK26">
    <cfRule type="dataBar" priority="42">
      <dataBar>
        <cfvo type="min"/>
        <cfvo type="max"/>
        <color rgb="FF638EC6"/>
      </dataBar>
      <extLst>
        <ext xmlns:x14="http://schemas.microsoft.com/office/spreadsheetml/2009/9/main" uri="{B025F937-C7B1-47D3-B67F-A62EFF666E3E}">
          <x14:id>{DAD9424B-9F72-4422-B23B-127511F7B81F}</x14:id>
        </ext>
      </extLst>
    </cfRule>
  </conditionalFormatting>
  <conditionalFormatting sqref="AE22:AI22 AE28:AK30 AE32:AK33 AE35:AK35 AE37:AK37 AE39:AK40 AE42:AK42">
    <cfRule type="dataBar" priority="41">
      <dataBar>
        <cfvo type="min"/>
        <cfvo type="max"/>
        <color rgb="FF638EC6"/>
      </dataBar>
      <extLst>
        <ext xmlns:x14="http://schemas.microsoft.com/office/spreadsheetml/2009/9/main" uri="{B025F937-C7B1-47D3-B67F-A62EFF666E3E}">
          <x14:id>{A64D7A6B-C572-4A05-9F3F-88B5233FF867}</x14:id>
        </ext>
      </extLst>
    </cfRule>
  </conditionalFormatting>
  <conditionalFormatting sqref="AE24:AJ24 AE26:AK26 AE28:AK28 AE22:AK22">
    <cfRule type="dataBar" priority="40">
      <dataBar>
        <cfvo type="min"/>
        <cfvo type="max"/>
        <color rgb="FF638EC6"/>
      </dataBar>
      <extLst>
        <ext xmlns:x14="http://schemas.microsoft.com/office/spreadsheetml/2009/9/main" uri="{B025F937-C7B1-47D3-B67F-A62EFF666E3E}">
          <x14:id>{94BE56EF-B534-4180-8C90-18454FFC674F}</x14:id>
        </ext>
      </extLst>
    </cfRule>
  </conditionalFormatting>
  <conditionalFormatting sqref="AE26:AE42">
    <cfRule type="dataBar" priority="39">
      <dataBar>
        <cfvo type="min"/>
        <cfvo type="max"/>
        <color rgb="FF638EC6"/>
      </dataBar>
      <extLst>
        <ext xmlns:x14="http://schemas.microsoft.com/office/spreadsheetml/2009/9/main" uri="{B025F937-C7B1-47D3-B67F-A62EFF666E3E}">
          <x14:id>{D483B9E7-0507-40DE-A5F5-3F0A2D5CF540}</x14:id>
        </ext>
      </extLst>
    </cfRule>
  </conditionalFormatting>
  <conditionalFormatting sqref="AE24">
    <cfRule type="dataBar" priority="38">
      <dataBar>
        <cfvo type="min"/>
        <cfvo type="max"/>
        <color rgb="FF638EC6"/>
      </dataBar>
      <extLst>
        <ext xmlns:x14="http://schemas.microsoft.com/office/spreadsheetml/2009/9/main" uri="{B025F937-C7B1-47D3-B67F-A62EFF666E3E}">
          <x14:id>{E1C8C38D-B751-4236-8A51-EF44B4B13C9A}</x14:id>
        </ext>
      </extLst>
    </cfRule>
  </conditionalFormatting>
  <conditionalFormatting sqref="AE24">
    <cfRule type="dataBar" priority="37">
      <dataBar>
        <cfvo type="min"/>
        <cfvo type="max"/>
        <color rgb="FF638EC6"/>
      </dataBar>
      <extLst>
        <ext xmlns:x14="http://schemas.microsoft.com/office/spreadsheetml/2009/9/main" uri="{B025F937-C7B1-47D3-B67F-A62EFF666E3E}">
          <x14:id>{2C62E81F-A96A-41B8-9A71-C01E5618F02C}</x14:id>
        </ext>
      </extLst>
    </cfRule>
  </conditionalFormatting>
  <conditionalFormatting sqref="AE22:AE42">
    <cfRule type="dataBar" priority="36">
      <dataBar>
        <cfvo type="min"/>
        <cfvo type="max"/>
        <color rgb="FF638EC6"/>
      </dataBar>
      <extLst>
        <ext xmlns:x14="http://schemas.microsoft.com/office/spreadsheetml/2009/9/main" uri="{B025F937-C7B1-47D3-B67F-A62EFF666E3E}">
          <x14:id>{EBCBC71C-914A-4F61-B2FE-5403A533C258}</x14:id>
        </ext>
      </extLst>
    </cfRule>
  </conditionalFormatting>
  <conditionalFormatting sqref="AE21:AE42">
    <cfRule type="dataBar" priority="34">
      <dataBar>
        <cfvo type="min"/>
        <cfvo type="max"/>
        <color theme="0" tint="-0.34998626667073579"/>
      </dataBar>
      <extLst>
        <ext xmlns:x14="http://schemas.microsoft.com/office/spreadsheetml/2009/9/main" uri="{B025F937-C7B1-47D3-B67F-A62EFF666E3E}">
          <x14:id>{FF7D87F0-7BD5-4345-9EAC-5A3F4D63B896}</x14:id>
        </ext>
      </extLst>
    </cfRule>
    <cfRule type="dataBar" priority="35">
      <dataBar>
        <cfvo type="min"/>
        <cfvo type="max"/>
        <color rgb="FF638EC6"/>
      </dataBar>
      <extLst>
        <ext xmlns:x14="http://schemas.microsoft.com/office/spreadsheetml/2009/9/main" uri="{B025F937-C7B1-47D3-B67F-A62EFF666E3E}">
          <x14:id>{E5D95A4F-D4F6-4898-A10F-E75B069535FA}</x14:id>
        </ext>
      </extLst>
    </cfRule>
  </conditionalFormatting>
  <conditionalFormatting sqref="AK24">
    <cfRule type="dataBar" priority="33">
      <dataBar>
        <cfvo type="min"/>
        <cfvo type="max"/>
        <color rgb="FF638EC6"/>
      </dataBar>
      <extLst>
        <ext xmlns:x14="http://schemas.microsoft.com/office/spreadsheetml/2009/9/main" uri="{B025F937-C7B1-47D3-B67F-A62EFF666E3E}">
          <x14:id>{29A10EC0-CBB5-4CD7-9D7C-4951619A1F54}</x14:id>
        </ext>
      </extLst>
    </cfRule>
  </conditionalFormatting>
  <conditionalFormatting sqref="AK24">
    <cfRule type="dataBar" priority="32">
      <dataBar>
        <cfvo type="min"/>
        <cfvo type="max"/>
        <color rgb="FF638EC6"/>
      </dataBar>
      <extLst>
        <ext xmlns:x14="http://schemas.microsoft.com/office/spreadsheetml/2009/9/main" uri="{B025F937-C7B1-47D3-B67F-A62EFF666E3E}">
          <x14:id>{AC2F3B3E-5BCB-418E-8633-79268A01A22A}</x14:id>
        </ext>
      </extLst>
    </cfRule>
  </conditionalFormatting>
  <conditionalFormatting sqref="AK24">
    <cfRule type="dataBar" priority="31">
      <dataBar>
        <cfvo type="min"/>
        <cfvo type="max"/>
        <color rgb="FF638EC6"/>
      </dataBar>
      <extLst>
        <ext xmlns:x14="http://schemas.microsoft.com/office/spreadsheetml/2009/9/main" uri="{B025F937-C7B1-47D3-B67F-A62EFF666E3E}">
          <x14:id>{6F15EF37-EFC9-458A-826B-08B7B64ABEB4}</x14:id>
        </ext>
      </extLst>
    </cfRule>
  </conditionalFormatting>
  <conditionalFormatting sqref="AK24">
    <cfRule type="dataBar" priority="30">
      <dataBar>
        <cfvo type="min"/>
        <cfvo type="max"/>
        <color rgb="FF638EC6"/>
      </dataBar>
      <extLst>
        <ext xmlns:x14="http://schemas.microsoft.com/office/spreadsheetml/2009/9/main" uri="{B025F937-C7B1-47D3-B67F-A62EFF666E3E}">
          <x14:id>{D2B1A2DD-E774-46B1-AE96-FFD14080F343}</x14:id>
        </ext>
      </extLst>
    </cfRule>
  </conditionalFormatting>
  <conditionalFormatting sqref="AK24">
    <cfRule type="dataBar" priority="29">
      <dataBar>
        <cfvo type="min"/>
        <cfvo type="max"/>
        <color rgb="FF638EC6"/>
      </dataBar>
      <extLst>
        <ext xmlns:x14="http://schemas.microsoft.com/office/spreadsheetml/2009/9/main" uri="{B025F937-C7B1-47D3-B67F-A62EFF666E3E}">
          <x14:id>{E7B3E68F-BA58-45DD-B519-F85DBFC72769}</x14:id>
        </ext>
      </extLst>
    </cfRule>
  </conditionalFormatting>
  <conditionalFormatting sqref="AK24">
    <cfRule type="dataBar" priority="28">
      <dataBar>
        <cfvo type="min"/>
        <cfvo type="max"/>
        <color rgb="FF638EC6"/>
      </dataBar>
      <extLst>
        <ext xmlns:x14="http://schemas.microsoft.com/office/spreadsheetml/2009/9/main" uri="{B025F937-C7B1-47D3-B67F-A62EFF666E3E}">
          <x14:id>{F3DC51D2-6657-432A-9F6F-56CE70492F2B}</x14:id>
        </ext>
      </extLst>
    </cfRule>
  </conditionalFormatting>
  <conditionalFormatting sqref="AP19 AN19">
    <cfRule type="colorScale" priority="27">
      <colorScale>
        <cfvo type="min"/>
        <cfvo type="percentile" val="50"/>
        <cfvo type="max"/>
        <color rgb="FFF8696B"/>
        <color rgb="FFFFEB84"/>
        <color rgb="FF63BE7B"/>
      </colorScale>
    </cfRule>
  </conditionalFormatting>
  <conditionalFormatting sqref="V15:V42 BYV30 AE22:AK22 AJ21:AK21 AE24:AK42 AO24:AO42 BYV36:BYV42 AM42 AM24:AM40 AQ24:AR42">
    <cfRule type="dataBar" priority="43">
      <dataBar>
        <cfvo type="min"/>
        <cfvo type="max"/>
        <color rgb="FFFFB628"/>
      </dataBar>
      <extLst>
        <ext xmlns:x14="http://schemas.microsoft.com/office/spreadsheetml/2009/9/main" uri="{B025F937-C7B1-47D3-B67F-A62EFF666E3E}">
          <x14:id>{9CD588F3-89D0-445F-A91F-121F55190F7A}</x14:id>
        </ext>
      </extLst>
    </cfRule>
  </conditionalFormatting>
  <conditionalFormatting sqref="AO44">
    <cfRule type="dataBar" priority="11">
      <dataBar>
        <cfvo type="min"/>
        <cfvo type="max"/>
        <color rgb="FFFFB628"/>
      </dataBar>
      <extLst>
        <ext xmlns:x14="http://schemas.microsoft.com/office/spreadsheetml/2009/9/main" uri="{B025F937-C7B1-47D3-B67F-A62EFF666E3E}">
          <x14:id>{48921DB6-9F62-49CE-A011-81F96EE0E226}</x14:id>
        </ext>
      </extLst>
    </cfRule>
  </conditionalFormatting>
  <conditionalFormatting sqref="AP11:AP12">
    <cfRule type="iconSet" priority="9">
      <iconSet>
        <cfvo type="percent" val="0"/>
        <cfvo type="num" val="0.25"/>
        <cfvo type="num" val="0.75"/>
      </iconSet>
    </cfRule>
    <cfRule type="iconSet" priority="10">
      <iconSet>
        <cfvo type="percent" val="0"/>
        <cfvo type="percent" val="25"/>
        <cfvo type="percent" val="75"/>
      </iconSet>
    </cfRule>
  </conditionalFormatting>
  <conditionalFormatting sqref="AL24">
    <cfRule type="iconSet" priority="8">
      <iconSet>
        <cfvo type="percent" val="0"/>
        <cfvo type="num" val="50"/>
        <cfvo type="num" val="75"/>
      </iconSet>
    </cfRule>
  </conditionalFormatting>
  <conditionalFormatting sqref="AL26">
    <cfRule type="iconSet" priority="7">
      <iconSet>
        <cfvo type="percent" val="0"/>
        <cfvo type="num" val="50"/>
        <cfvo type="num" val="75"/>
      </iconSet>
    </cfRule>
  </conditionalFormatting>
  <conditionalFormatting sqref="AL28">
    <cfRule type="iconSet" priority="6">
      <iconSet>
        <cfvo type="percent" val="0"/>
        <cfvo type="num" val="50"/>
        <cfvo type="num" val="75"/>
      </iconSet>
    </cfRule>
  </conditionalFormatting>
  <conditionalFormatting sqref="AL29">
    <cfRule type="iconSet" priority="5">
      <iconSet>
        <cfvo type="percent" val="0"/>
        <cfvo type="num" val="50"/>
        <cfvo type="num" val="75"/>
      </iconSet>
    </cfRule>
  </conditionalFormatting>
  <conditionalFormatting sqref="AL30">
    <cfRule type="iconSet" priority="4">
      <iconSet>
        <cfvo type="percent" val="0"/>
        <cfvo type="num" val="50"/>
        <cfvo type="num" val="75"/>
      </iconSet>
    </cfRule>
  </conditionalFormatting>
  <conditionalFormatting sqref="AL42 AL39:AL40 AL37 AL35 AL32:AL33">
    <cfRule type="iconSet" priority="3">
      <iconSet>
        <cfvo type="percent" val="0"/>
        <cfvo type="num" val="50"/>
        <cfvo type="num" val="75"/>
      </iconSet>
    </cfRule>
  </conditionalFormatting>
  <conditionalFormatting sqref="AL24 AL26 AL28:AL30 AL32:AL33 AL35 AL37 AL39:AL40 AL42">
    <cfRule type="iconSet" priority="2">
      <iconSet>
        <cfvo type="percent" val="0"/>
        <cfvo type="num" val="26"/>
        <cfvo type="num" val="75"/>
      </iconSet>
    </cfRule>
  </conditionalFormatting>
  <dataValidations count="12">
    <dataValidation type="list" allowBlank="1" showInputMessage="1" showErrorMessage="1" sqref="N24" xr:uid="{CA5B63C6-EFF0-4BD5-A603-A21AD739661E}">
      <formula1>opgverkleining</formula1>
    </dataValidation>
    <dataValidation type="list" allowBlank="1" showInputMessage="1" showErrorMessage="1" sqref="N26" xr:uid="{A98436F5-3E17-4A8F-B307-CADBFEF4C1BE}">
      <formula1>levensduurverlenging</formula1>
    </dataValidation>
    <dataValidation type="list" allowBlank="1" showInputMessage="1" showErrorMessage="1" sqref="N28" xr:uid="{B262B1B5-2870-4EEE-833B-D71B1C41877A}">
      <formula1>restwaardehergebruik</formula1>
    </dataValidation>
    <dataValidation type="list" allowBlank="1" showInputMessage="1" showErrorMessage="1" sqref="N29" xr:uid="{AABF7D39-31C1-4390-B1C8-300214EA0772}">
      <formula1>materialendatabank</formula1>
    </dataValidation>
    <dataValidation type="list" allowBlank="1" showInputMessage="1" showErrorMessage="1" sqref="N30" xr:uid="{70772423-EB9B-4D19-B1A2-11658D0DC8B1}">
      <formula1>natuurlijkeprocessen</formula1>
    </dataValidation>
    <dataValidation type="list" allowBlank="1" showInputMessage="1" showErrorMessage="1" sqref="N32" xr:uid="{2AC92280-FDBB-402F-9FEB-3FF38FC6B296}">
      <formula1>herbruikbaarheid</formula1>
    </dataValidation>
    <dataValidation type="list" allowBlank="1" showInputMessage="1" showErrorMessage="1" sqref="N33" xr:uid="{01FD5E93-0077-4E60-858A-DFE17C3D2555}">
      <formula1>materialenpaspoort</formula1>
    </dataValidation>
    <dataValidation type="list" allowBlank="1" showInputMessage="1" showErrorMessage="1" sqref="N35" xr:uid="{67FDCF8E-802F-42A4-9BDB-005B6D1F07B8}">
      <formula1>adaptatie</formula1>
    </dataValidation>
    <dataValidation type="list" allowBlank="1" showInputMessage="1" showErrorMessage="1" sqref="N37" xr:uid="{C4C0AA7A-CEC0-4326-8B1B-27B269B5AF3D}">
      <formula1>beheeronderhoud</formula1>
    </dataValidation>
    <dataValidation type="list" allowBlank="1" showInputMessage="1" showErrorMessage="1" sqref="N39" xr:uid="{30B79B36-E3EC-4A05-89EA-6BBEFA78075B}">
      <formula1>mki</formula1>
    </dataValidation>
    <dataValidation type="list" allowBlank="1" showInputMessage="1" showErrorMessage="1" sqref="N40" xr:uid="{902604B8-8EC6-4DD5-8DEB-340F59A02E57}">
      <formula1>circulariteit</formula1>
    </dataValidation>
    <dataValidation type="list" allowBlank="1" showInputMessage="1" showErrorMessage="1" sqref="N42" xr:uid="{C1CD1093-C793-4E97-A0C5-79657944DDAE}">
      <formula1>co2berekening</formula1>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dataBar" id="{DAD9424B-9F72-4422-B23B-127511F7B81F}">
            <x14:dataBar minLength="0" maxLength="100" border="1" negativeBarBorderColorSameAsPositive="0">
              <x14:cfvo type="autoMin"/>
              <x14:cfvo type="autoMax"/>
              <x14:borderColor rgb="FF638EC6"/>
              <x14:negativeFillColor rgb="FFFF0000"/>
              <x14:negativeBorderColor rgb="FFFF0000"/>
              <x14:axisColor rgb="FF000000"/>
            </x14:dataBar>
          </x14:cfRule>
          <xm:sqref>AE24:AJ24 AE26:AK26</xm:sqref>
        </x14:conditionalFormatting>
        <x14:conditionalFormatting xmlns:xm="http://schemas.microsoft.com/office/excel/2006/main">
          <x14:cfRule type="dataBar" id="{A64D7A6B-C572-4A05-9F3F-88B5233FF867}">
            <x14:dataBar minLength="0" maxLength="100" border="1" negativeBarBorderColorSameAsPositive="0">
              <x14:cfvo type="autoMin"/>
              <x14:cfvo type="autoMax"/>
              <x14:borderColor rgb="FF638EC6"/>
              <x14:negativeFillColor rgb="FFFF0000"/>
              <x14:negativeBorderColor rgb="FFFF0000"/>
              <x14:axisColor rgb="FF000000"/>
            </x14:dataBar>
          </x14:cfRule>
          <xm:sqref>AE22:AI22 AE28:AK30 AE32:AK33 AE35:AK35 AE37:AK37 AE39:AK40 AE42:AK42</xm:sqref>
        </x14:conditionalFormatting>
        <x14:conditionalFormatting xmlns:xm="http://schemas.microsoft.com/office/excel/2006/main">
          <x14:cfRule type="dataBar" id="{94BE56EF-B534-4180-8C90-18454FFC674F}">
            <x14:dataBar minLength="0" maxLength="100" border="1" negativeBarBorderColorSameAsPositive="0">
              <x14:cfvo type="autoMin"/>
              <x14:cfvo type="autoMax"/>
              <x14:borderColor rgb="FF638EC6"/>
              <x14:negativeFillColor rgb="FFFF0000"/>
              <x14:negativeBorderColor rgb="FFFF0000"/>
              <x14:axisColor rgb="FF000000"/>
            </x14:dataBar>
          </x14:cfRule>
          <xm:sqref>AE24:AJ24 AE26:AK26 AE28:AK28 AE22:AK22</xm:sqref>
        </x14:conditionalFormatting>
        <x14:conditionalFormatting xmlns:xm="http://schemas.microsoft.com/office/excel/2006/main">
          <x14:cfRule type="dataBar" id="{D483B9E7-0507-40DE-A5F5-3F0A2D5CF540}">
            <x14:dataBar minLength="0" maxLength="100" gradient="0">
              <x14:cfvo type="autoMin"/>
              <x14:cfvo type="autoMax"/>
              <x14:negativeFillColor rgb="FFFF0000"/>
              <x14:axisColor rgb="FF000000"/>
            </x14:dataBar>
          </x14:cfRule>
          <xm:sqref>AE26:AE42</xm:sqref>
        </x14:conditionalFormatting>
        <x14:conditionalFormatting xmlns:xm="http://schemas.microsoft.com/office/excel/2006/main">
          <x14:cfRule type="dataBar" id="{E1C8C38D-B751-4236-8A51-EF44B4B13C9A}">
            <x14:dataBar minLength="0" maxLength="100" gradient="0">
              <x14:cfvo type="autoMin"/>
              <x14:cfvo type="autoMax"/>
              <x14:negativeFillColor rgb="FFFF0000"/>
              <x14:axisColor rgb="FF000000"/>
            </x14:dataBar>
          </x14:cfRule>
          <xm:sqref>AE24</xm:sqref>
        </x14:conditionalFormatting>
        <x14:conditionalFormatting xmlns:xm="http://schemas.microsoft.com/office/excel/2006/main">
          <x14:cfRule type="dataBar" id="{2C62E81F-A96A-41B8-9A71-C01E5618F02C}">
            <x14:dataBar minLength="0" maxLength="100" gradient="0">
              <x14:cfvo type="autoMin"/>
              <x14:cfvo type="autoMax"/>
              <x14:negativeFillColor rgb="FFFF0000"/>
              <x14:axisColor rgb="FF000000"/>
            </x14:dataBar>
          </x14:cfRule>
          <xm:sqref>AE24</xm:sqref>
        </x14:conditionalFormatting>
        <x14:conditionalFormatting xmlns:xm="http://schemas.microsoft.com/office/excel/2006/main">
          <x14:cfRule type="dataBar" id="{EBCBC71C-914A-4F61-B2FE-5403A533C258}">
            <x14:dataBar minLength="0" maxLength="100" gradient="0">
              <x14:cfvo type="autoMin"/>
              <x14:cfvo type="autoMax"/>
              <x14:negativeFillColor rgb="FFFF0000"/>
              <x14:axisColor rgb="FF000000"/>
            </x14:dataBar>
          </x14:cfRule>
          <xm:sqref>AE22:AE42</xm:sqref>
        </x14:conditionalFormatting>
        <x14:conditionalFormatting xmlns:xm="http://schemas.microsoft.com/office/excel/2006/main">
          <x14:cfRule type="dataBar" id="{FF7D87F0-7BD5-4345-9EAC-5A3F4D63B896}">
            <x14:dataBar minLength="0" maxLength="100" gradient="0">
              <x14:cfvo type="autoMin"/>
              <x14:cfvo type="autoMax"/>
              <x14:negativeFillColor rgb="FFFF0000"/>
              <x14:axisColor rgb="FF000000"/>
            </x14:dataBar>
          </x14:cfRule>
          <x14:cfRule type="dataBar" id="{E5D95A4F-D4F6-4898-A10F-E75B069535FA}">
            <x14:dataBar minLength="0" maxLength="100" gradient="0">
              <x14:cfvo type="autoMin"/>
              <x14:cfvo type="autoMax"/>
              <x14:negativeFillColor rgb="FFFF0000"/>
              <x14:axisColor rgb="FF000000"/>
            </x14:dataBar>
          </x14:cfRule>
          <xm:sqref>AE21:AE42</xm:sqref>
        </x14:conditionalFormatting>
        <x14:conditionalFormatting xmlns:xm="http://schemas.microsoft.com/office/excel/2006/main">
          <x14:cfRule type="dataBar" id="{29A10EC0-CBB5-4CD7-9D7C-4951619A1F54}">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AC2F3B3E-5BCB-418E-8633-79268A01A22A}">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6F15EF37-EFC9-458A-826B-08B7B64ABEB4}">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D2B1A2DD-E774-46B1-AE96-FFD14080F343}">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E7B3E68F-BA58-45DD-B519-F85DBFC72769}">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F3DC51D2-6657-432A-9F6F-56CE70492F2B}">
            <x14:dataBar minLength="0" maxLength="100" border="1" negativeBarBorderColorSameAsPositive="0">
              <x14:cfvo type="autoMin"/>
              <x14:cfvo type="autoMax"/>
              <x14:borderColor rgb="FF638EC6"/>
              <x14:negativeFillColor rgb="FFFF0000"/>
              <x14:negativeBorderColor rgb="FFFF0000"/>
              <x14:axisColor rgb="FF000000"/>
            </x14:dataBar>
          </x14:cfRule>
          <xm:sqref>AK24</xm:sqref>
        </x14:conditionalFormatting>
        <x14:conditionalFormatting xmlns:xm="http://schemas.microsoft.com/office/excel/2006/main">
          <x14:cfRule type="dataBar" id="{9CD588F3-89D0-445F-A91F-121F55190F7A}">
            <x14:dataBar minLength="0" maxLength="100" border="1" negativeBarBorderColorSameAsPositive="0">
              <x14:cfvo type="autoMin"/>
              <x14:cfvo type="autoMax"/>
              <x14:borderColor rgb="FFFFB628"/>
              <x14:negativeFillColor rgb="FFFF0000"/>
              <x14:negativeBorderColor rgb="FFFF0000"/>
              <x14:axisColor rgb="FF000000"/>
            </x14:dataBar>
          </x14:cfRule>
          <xm:sqref>V15:V42 BYV30 AE22:AK22 AJ21:AK21 AE24:AK42 AO24:AO42 BYV36:BYV42 AM42 AM24:AM40 AQ24:AR42</xm:sqref>
        </x14:conditionalFormatting>
        <x14:conditionalFormatting xmlns:xm="http://schemas.microsoft.com/office/excel/2006/main">
          <x14:cfRule type="dataBar" id="{48921DB6-9F62-49CE-A011-81F96EE0E226}">
            <x14:dataBar minLength="0" maxLength="100" border="1" negativeBarBorderColorSameAsPositive="0">
              <x14:cfvo type="autoMin"/>
              <x14:cfvo type="autoMax"/>
              <x14:borderColor rgb="FFFFB628"/>
              <x14:negativeFillColor rgb="FFFF0000"/>
              <x14:negativeBorderColor rgb="FFFF0000"/>
              <x14:axisColor rgb="FF000000"/>
            </x14:dataBar>
          </x14:cfRule>
          <xm:sqref>AO44</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E12BB-E797-44B8-A1FD-52E2AF96C5BC}">
  <sheetPr>
    <tabColor rgb="FFC00000"/>
  </sheetPr>
  <dimension ref="B1:BC42"/>
  <sheetViews>
    <sheetView showGridLines="0" showRowColHeaders="0" zoomScale="55" zoomScaleNormal="55" workbookViewId="0">
      <selection activeCell="B41" sqref="B1:S41"/>
    </sheetView>
  </sheetViews>
  <sheetFormatPr defaultRowHeight="14.4" x14ac:dyDescent="0.3"/>
  <cols>
    <col min="3" max="3" width="8.88671875" style="107"/>
    <col min="4" max="4" width="45.5546875" customWidth="1"/>
    <col min="7" max="7" width="12.6640625" customWidth="1"/>
    <col min="14" max="14" width="11.109375" customWidth="1"/>
    <col min="15" max="15" width="8.88671875" style="109"/>
    <col min="18" max="18" width="0" hidden="1" customWidth="1"/>
    <col min="19" max="19" width="9.6640625" customWidth="1"/>
    <col min="20" max="33" width="0" hidden="1" customWidth="1"/>
  </cols>
  <sheetData>
    <row r="1" spans="2:55" ht="53.4" customHeight="1" x14ac:dyDescent="0.65">
      <c r="B1" s="119"/>
      <c r="C1" s="81"/>
      <c r="D1" s="81"/>
      <c r="E1" s="654"/>
      <c r="F1" s="654"/>
      <c r="G1" s="654"/>
      <c r="H1" s="655"/>
      <c r="I1" s="656"/>
      <c r="J1" s="656"/>
      <c r="K1" s="656"/>
      <c r="L1" s="656"/>
      <c r="M1" s="656"/>
      <c r="N1" s="656"/>
      <c r="O1" s="656"/>
      <c r="P1" s="656"/>
      <c r="Q1" s="657"/>
      <c r="R1" s="81"/>
      <c r="S1" s="121"/>
    </row>
    <row r="2" spans="2:55" ht="15" thickBot="1" x14ac:dyDescent="0.35">
      <c r="B2" s="30"/>
      <c r="C2" s="20"/>
      <c r="D2" s="20"/>
      <c r="E2" s="20"/>
      <c r="F2" s="20"/>
      <c r="G2" s="20"/>
      <c r="H2" s="20"/>
      <c r="I2" s="20"/>
      <c r="J2" s="20"/>
      <c r="K2" s="20"/>
      <c r="L2" s="20"/>
      <c r="M2" s="20"/>
      <c r="N2" s="20"/>
      <c r="O2" s="20"/>
      <c r="P2" s="20"/>
      <c r="Q2" s="20"/>
      <c r="R2" s="20"/>
      <c r="S2" s="123"/>
    </row>
    <row r="3" spans="2:55" ht="21" customHeight="1" thickBot="1" x14ac:dyDescent="0.5">
      <c r="B3" s="30"/>
      <c r="C3" s="641" t="str">
        <f>'A1'!$N$2</f>
        <v>De Circulaire Peiler</v>
      </c>
      <c r="D3" s="588"/>
      <c r="E3" s="588"/>
      <c r="F3" s="588"/>
      <c r="G3" s="588"/>
      <c r="H3" s="588"/>
      <c r="I3" s="588"/>
      <c r="J3" s="588"/>
      <c r="K3" s="588"/>
      <c r="L3" s="588"/>
      <c r="M3" s="588"/>
      <c r="N3" s="215" t="s">
        <v>127</v>
      </c>
      <c r="O3" s="215" t="s">
        <v>128</v>
      </c>
      <c r="P3" s="213"/>
      <c r="Q3" s="214"/>
      <c r="R3" s="196">
        <v>0</v>
      </c>
      <c r="S3" s="123"/>
    </row>
    <row r="4" spans="2:55" ht="21.6" customHeight="1" x14ac:dyDescent="0.35">
      <c r="B4" s="30"/>
      <c r="C4" s="642" t="str">
        <f>'A1'!$N$3</f>
        <v>Peilstok die circulariteit in projecten meetbaar maakt</v>
      </c>
      <c r="D4" s="589"/>
      <c r="E4" s="589"/>
      <c r="F4" s="589"/>
      <c r="G4" s="589"/>
      <c r="H4" s="589"/>
      <c r="I4" s="589"/>
      <c r="J4" s="589"/>
      <c r="K4" s="589"/>
      <c r="L4" s="589"/>
      <c r="M4" s="589"/>
      <c r="N4" s="711" t="s">
        <v>381</v>
      </c>
      <c r="O4" s="396" t="s">
        <v>130</v>
      </c>
      <c r="P4" s="397" t="s">
        <v>351</v>
      </c>
      <c r="Q4" s="398" t="s">
        <v>131</v>
      </c>
      <c r="R4" s="196">
        <v>100</v>
      </c>
      <c r="S4" s="123"/>
      <c r="T4" s="47"/>
    </row>
    <row r="5" spans="2:55" ht="21.6" customHeight="1" thickBot="1" x14ac:dyDescent="0.4">
      <c r="B5" s="30"/>
      <c r="C5" s="590" t="s">
        <v>132</v>
      </c>
      <c r="D5" s="591" t="str">
        <f>'A1'!AP2&amp; " d.d. "&amp;'A1'!AP3</f>
        <v xml:space="preserve"> d.d. </v>
      </c>
      <c r="E5" s="591"/>
      <c r="F5" s="591"/>
      <c r="G5" s="591"/>
      <c r="H5" s="591"/>
      <c r="I5" s="591"/>
      <c r="J5" s="591"/>
      <c r="K5" s="591"/>
      <c r="L5" s="591"/>
      <c r="M5" s="591"/>
      <c r="N5" s="231" t="e">
        <f>Q40</f>
        <v>#VALUE!</v>
      </c>
      <c r="O5" s="271" t="str">
        <f>IF('A1'!AP68=0,"?",'A1'!AP67)</f>
        <v>?</v>
      </c>
      <c r="P5" s="272" t="str">
        <f>IF('A1'!AP72=0,"?",'A1'!AP71)</f>
        <v>?</v>
      </c>
      <c r="Q5" s="273" t="str">
        <f>IF('A1'!AP76=0,"?",'A1'!AP75)</f>
        <v>?</v>
      </c>
      <c r="R5" s="196"/>
      <c r="S5" s="123"/>
      <c r="T5" s="47"/>
    </row>
    <row r="6" spans="2:55" ht="21" x14ac:dyDescent="0.4">
      <c r="B6" s="30"/>
      <c r="C6" s="478"/>
      <c r="D6" s="20"/>
      <c r="E6" s="20"/>
      <c r="F6" s="20"/>
      <c r="G6" s="20"/>
      <c r="H6" s="20"/>
      <c r="I6" s="20"/>
      <c r="J6" s="20"/>
      <c r="K6" s="20"/>
      <c r="L6" s="20"/>
      <c r="M6" s="20"/>
      <c r="N6" s="20"/>
      <c r="O6" s="166" t="s">
        <v>133</v>
      </c>
      <c r="P6" s="20"/>
      <c r="Q6" s="20"/>
      <c r="R6" s="20"/>
      <c r="S6" s="123"/>
    </row>
    <row r="7" spans="2:55" x14ac:dyDescent="0.3">
      <c r="B7" s="30"/>
      <c r="C7" s="119"/>
      <c r="D7" s="81"/>
      <c r="E7" s="81"/>
      <c r="F7" s="81"/>
      <c r="G7" s="81"/>
      <c r="H7" s="81"/>
      <c r="I7" s="81"/>
      <c r="J7" s="81"/>
      <c r="K7" s="81"/>
      <c r="L7" s="81"/>
      <c r="M7" s="121"/>
      <c r="N7" s="119" t="s">
        <v>29</v>
      </c>
      <c r="O7" s="120"/>
      <c r="P7" s="81"/>
      <c r="Q7" s="121"/>
      <c r="R7" s="20"/>
      <c r="S7" s="123"/>
    </row>
    <row r="8" spans="2:55" x14ac:dyDescent="0.3">
      <c r="B8" s="30"/>
      <c r="C8" s="152" t="s">
        <v>21</v>
      </c>
      <c r="D8" s="20"/>
      <c r="E8" s="20"/>
      <c r="F8" s="20"/>
      <c r="G8" s="211" t="str">
        <f>'A1'!N4</f>
        <v>Projectnaam</v>
      </c>
      <c r="H8" s="154"/>
      <c r="I8" s="154"/>
      <c r="J8" s="154"/>
      <c r="K8" s="20"/>
      <c r="L8" s="20"/>
      <c r="M8" s="123"/>
      <c r="N8" s="122">
        <v>1</v>
      </c>
      <c r="O8" s="20" t="s">
        <v>50</v>
      </c>
      <c r="P8" s="20"/>
      <c r="Q8" s="123"/>
      <c r="R8" s="20"/>
      <c r="S8" s="123"/>
    </row>
    <row r="9" spans="2:55" x14ac:dyDescent="0.3">
      <c r="B9" s="30"/>
      <c r="C9" s="152" t="s">
        <v>324</v>
      </c>
      <c r="D9" s="20"/>
      <c r="E9" s="20"/>
      <c r="F9" s="20"/>
      <c r="G9" s="211" t="str">
        <f>'A1'!N6</f>
        <v>Plaatsnaam</v>
      </c>
      <c r="H9" s="154"/>
      <c r="I9" s="154"/>
      <c r="J9" s="154"/>
      <c r="K9" s="20"/>
      <c r="L9" s="20"/>
      <c r="M9" s="123"/>
      <c r="N9" s="122">
        <v>2</v>
      </c>
      <c r="O9" s="20" t="s">
        <v>22</v>
      </c>
      <c r="P9" s="20"/>
      <c r="Q9" s="123"/>
      <c r="R9" s="20"/>
      <c r="S9" s="123"/>
    </row>
    <row r="10" spans="2:55" x14ac:dyDescent="0.3">
      <c r="B10" s="30"/>
      <c r="C10" s="152" t="s">
        <v>325</v>
      </c>
      <c r="D10" s="20"/>
      <c r="E10" s="20"/>
      <c r="F10" s="20"/>
      <c r="G10" s="211" t="str">
        <f>'A1'!N7</f>
        <v>A1</v>
      </c>
      <c r="H10" s="154"/>
      <c r="I10" s="154"/>
      <c r="J10" s="154"/>
      <c r="K10" s="20"/>
      <c r="L10" s="20"/>
      <c r="M10" s="123"/>
      <c r="N10" s="122">
        <v>3</v>
      </c>
      <c r="O10" s="20" t="s">
        <v>134</v>
      </c>
      <c r="P10" s="20"/>
      <c r="Q10" s="123"/>
      <c r="R10" s="20"/>
      <c r="S10" s="123"/>
    </row>
    <row r="11" spans="2:55" x14ac:dyDescent="0.3">
      <c r="B11" s="30"/>
      <c r="C11" s="152" t="s">
        <v>135</v>
      </c>
      <c r="D11" s="20"/>
      <c r="E11" s="20"/>
      <c r="F11" s="20"/>
      <c r="G11" s="293">
        <f>IF(H11="initiatieffase",1)+IF(H11="verkenningsfase",2)+IF(H11="beheer/onderhoudsfase",6)+IF(H11="contractvormingsfase",4)+IF(H11="realisatiefase",5)+IF(H11="&lt;eigen weegfactoren&gt;",7)+IF(H11="planuitwerkingsfase",3)</f>
        <v>2</v>
      </c>
      <c r="H11" s="154" t="str">
        <f>'A1'!N8</f>
        <v>verkenningsfase</v>
      </c>
      <c r="I11" s="154"/>
      <c r="J11" s="154"/>
      <c r="K11" s="169"/>
      <c r="L11" s="167"/>
      <c r="M11" s="168"/>
      <c r="N11" s="122">
        <v>4</v>
      </c>
      <c r="O11" s="20" t="s">
        <v>136</v>
      </c>
      <c r="P11" s="20"/>
      <c r="Q11" s="123"/>
      <c r="R11" s="20"/>
      <c r="S11" s="123"/>
      <c r="T11" s="1"/>
      <c r="U11" s="1"/>
      <c r="V11" s="1"/>
      <c r="W11" s="1"/>
      <c r="X11" s="1"/>
      <c r="Y11" s="1"/>
      <c r="Z11" s="1"/>
      <c r="AA11" s="1"/>
      <c r="AB11" s="1"/>
      <c r="AC11" s="1"/>
      <c r="AD11" s="1"/>
      <c r="AE11" s="1"/>
      <c r="AF11" s="1"/>
      <c r="AG11" s="1"/>
      <c r="AH11" s="1"/>
      <c r="AI11" s="1"/>
      <c r="AJ11" s="1"/>
      <c r="AK11" s="1"/>
      <c r="AL11" s="1"/>
    </row>
    <row r="12" spans="2:55" x14ac:dyDescent="0.3">
      <c r="B12" s="30"/>
      <c r="C12" s="152"/>
      <c r="D12" s="20"/>
      <c r="E12" s="20"/>
      <c r="F12" s="20"/>
      <c r="G12" s="294"/>
      <c r="H12" s="20"/>
      <c r="I12" s="20"/>
      <c r="J12" s="20"/>
      <c r="K12" s="20"/>
      <c r="L12" s="20"/>
      <c r="M12" s="123"/>
      <c r="N12" s="122">
        <v>5</v>
      </c>
      <c r="O12" s="20" t="s">
        <v>137</v>
      </c>
      <c r="P12" s="20"/>
      <c r="Q12" s="123"/>
      <c r="R12" s="20"/>
      <c r="S12" s="123"/>
      <c r="T12" s="1"/>
      <c r="U12" s="1"/>
      <c r="V12" s="1"/>
      <c r="W12" s="1"/>
      <c r="X12" s="1"/>
      <c r="Y12" s="1"/>
      <c r="Z12" s="1"/>
      <c r="AA12" s="1"/>
      <c r="AB12" s="1"/>
      <c r="AC12" s="1"/>
      <c r="AD12" s="1"/>
      <c r="AE12" s="1"/>
      <c r="AF12" s="1"/>
      <c r="AG12" s="1"/>
      <c r="AH12" s="1"/>
      <c r="AI12" s="1"/>
      <c r="AJ12" s="1"/>
      <c r="AK12" s="1"/>
      <c r="AL12" s="1"/>
    </row>
    <row r="13" spans="2:55" x14ac:dyDescent="0.3">
      <c r="B13" s="30"/>
      <c r="C13" s="152" t="s">
        <v>23</v>
      </c>
      <c r="D13" s="20"/>
      <c r="E13" s="20"/>
      <c r="F13" s="20"/>
      <c r="G13" s="749" t="str">
        <f>'A1'!N10</f>
        <v>A2</v>
      </c>
      <c r="H13" s="154"/>
      <c r="I13" s="154"/>
      <c r="J13" s="154"/>
      <c r="K13" s="20"/>
      <c r="L13" s="20"/>
      <c r="M13" s="123"/>
      <c r="N13" s="122">
        <v>6</v>
      </c>
      <c r="O13" s="20" t="s">
        <v>138</v>
      </c>
      <c r="P13" s="20"/>
      <c r="Q13" s="123"/>
      <c r="R13" s="20"/>
      <c r="S13" s="123"/>
      <c r="T13" s="1"/>
      <c r="U13" s="1"/>
      <c r="V13" s="1"/>
      <c r="W13" s="1"/>
      <c r="X13" s="1"/>
      <c r="Y13" s="1"/>
      <c r="Z13" s="1"/>
      <c r="AA13" s="1"/>
      <c r="AB13" s="1"/>
      <c r="AC13" s="1"/>
      <c r="AD13" s="1"/>
      <c r="AE13" s="1"/>
      <c r="AF13" s="1"/>
      <c r="AG13" s="1"/>
      <c r="AH13" s="1"/>
      <c r="AI13" s="1"/>
      <c r="AJ13" s="1"/>
      <c r="AK13" s="1"/>
      <c r="AL13" s="1"/>
    </row>
    <row r="14" spans="2:55" x14ac:dyDescent="0.3">
      <c r="B14" s="30"/>
      <c r="C14" s="153" t="s">
        <v>24</v>
      </c>
      <c r="D14" s="38"/>
      <c r="E14" s="38"/>
      <c r="F14" s="38"/>
      <c r="G14" s="751" t="str">
        <f>'A1'!N11</f>
        <v>A3</v>
      </c>
      <c r="H14" s="170"/>
      <c r="I14" s="170"/>
      <c r="J14" s="170"/>
      <c r="K14" s="38" t="str">
        <f>IF(G18=7,O14,"")</f>
        <v/>
      </c>
      <c r="L14" s="38"/>
      <c r="M14" s="125"/>
      <c r="N14" s="124">
        <v>7</v>
      </c>
      <c r="O14" s="38" t="s">
        <v>139</v>
      </c>
      <c r="P14" s="38"/>
      <c r="Q14" s="125"/>
      <c r="R14" s="20"/>
      <c r="S14" s="123"/>
      <c r="T14" s="1"/>
      <c r="U14" s="1"/>
      <c r="V14" s="1"/>
      <c r="W14" s="1"/>
      <c r="X14" s="1"/>
      <c r="Y14" s="1"/>
      <c r="Z14" s="1"/>
      <c r="AA14" s="1"/>
      <c r="AB14" s="1"/>
      <c r="AC14" s="1"/>
      <c r="AD14" s="1"/>
      <c r="AE14" s="1"/>
      <c r="AF14" s="1"/>
      <c r="AG14" s="1"/>
      <c r="AH14" s="1"/>
      <c r="AI14" s="1"/>
      <c r="AJ14" s="1"/>
      <c r="AK14" s="1"/>
      <c r="AL14" s="1"/>
    </row>
    <row r="15" spans="2:55" ht="384" customHeight="1" x14ac:dyDescent="0.3">
      <c r="B15" s="30"/>
      <c r="C15" s="166"/>
      <c r="D15" s="479" t="s">
        <v>322</v>
      </c>
      <c r="E15" s="20"/>
      <c r="F15" s="20"/>
      <c r="G15" s="20"/>
      <c r="H15" s="20"/>
      <c r="I15" s="20"/>
      <c r="J15" s="20"/>
      <c r="K15" s="20"/>
      <c r="L15" s="20"/>
      <c r="M15" s="20"/>
      <c r="N15" s="126"/>
      <c r="O15" s="20"/>
      <c r="P15" s="20"/>
      <c r="Q15" s="20"/>
      <c r="R15" s="20"/>
      <c r="S15" s="123"/>
      <c r="T15" s="1"/>
      <c r="U15" s="1"/>
      <c r="V15" s="1"/>
      <c r="W15" s="1"/>
      <c r="X15" s="1"/>
      <c r="Y15" s="1"/>
      <c r="Z15" s="1"/>
      <c r="AA15" s="1"/>
      <c r="AB15" s="1"/>
      <c r="AC15" s="1"/>
      <c r="AD15" s="1"/>
      <c r="AE15" s="1"/>
      <c r="AF15" s="1"/>
      <c r="AG15" s="1"/>
      <c r="AH15" s="1"/>
      <c r="AI15" s="1"/>
      <c r="AJ15" s="1"/>
      <c r="AK15" s="1"/>
      <c r="AL15" s="1"/>
    </row>
    <row r="16" spans="2:55" ht="12" customHeight="1" x14ac:dyDescent="0.3">
      <c r="B16" s="30"/>
      <c r="C16" s="224"/>
      <c r="D16" s="225"/>
      <c r="E16" s="81"/>
      <c r="F16" s="81"/>
      <c r="G16" s="81"/>
      <c r="H16" s="81"/>
      <c r="I16" s="81"/>
      <c r="J16" s="81"/>
      <c r="K16" s="81"/>
      <c r="L16" s="81"/>
      <c r="M16" s="81"/>
      <c r="N16" s="120"/>
      <c r="O16" s="81"/>
      <c r="P16" s="119"/>
      <c r="Q16" s="229" t="s">
        <v>129</v>
      </c>
      <c r="R16" s="20"/>
      <c r="S16" s="123"/>
      <c r="AI16" s="18"/>
      <c r="AJ16" s="18"/>
      <c r="AK16" s="18"/>
      <c r="AL16" s="18"/>
      <c r="AM16" s="18"/>
      <c r="AN16" s="18"/>
      <c r="AO16" s="18"/>
      <c r="AP16" s="18"/>
      <c r="AQ16" s="18"/>
      <c r="AR16" s="18"/>
      <c r="AS16" s="18"/>
      <c r="AT16" s="18"/>
      <c r="AU16" s="18"/>
      <c r="AV16" s="18"/>
      <c r="AW16" s="18"/>
      <c r="AX16" s="18"/>
      <c r="AY16" s="18"/>
      <c r="AZ16" s="18"/>
      <c r="BA16" s="18"/>
      <c r="BB16" s="18"/>
      <c r="BC16" s="18"/>
    </row>
    <row r="17" spans="2:55" ht="15.6" x14ac:dyDescent="0.3">
      <c r="B17" s="30"/>
      <c r="C17" s="226" t="str">
        <f>"Overzicht acties en maatregelen. Hoe invulling wordt gegeven aan de 8 ontwerpprincipes uit het MIRT. Alternatief: "&amp;'info vergelijk'!E47</f>
        <v>Overzicht acties en maatregelen. Hoe invulling wordt gegeven aan de 8 ontwerpprincipes uit het MIRT. Alternatief: A1 NIET VOLLEDIG</v>
      </c>
      <c r="D17" s="227"/>
      <c r="E17" s="227"/>
      <c r="F17" s="227"/>
      <c r="G17" s="227"/>
      <c r="H17" s="227"/>
      <c r="I17" s="227"/>
      <c r="J17" s="227"/>
      <c r="K17" s="227"/>
      <c r="L17" s="227"/>
      <c r="M17" s="227"/>
      <c r="N17" s="227"/>
      <c r="O17" s="228"/>
      <c r="P17" s="230" t="s">
        <v>47</v>
      </c>
      <c r="Q17" s="395" t="s">
        <v>140</v>
      </c>
      <c r="R17" s="20"/>
      <c r="S17" s="123" t="s">
        <v>141</v>
      </c>
      <c r="T17" s="477" t="s">
        <v>142</v>
      </c>
      <c r="U17" s="221"/>
      <c r="V17" s="222"/>
      <c r="W17" s="222"/>
      <c r="X17" s="222"/>
      <c r="Y17" s="222"/>
      <c r="Z17" s="222"/>
      <c r="AA17" s="222"/>
      <c r="AB17" s="222"/>
      <c r="AC17" s="222"/>
      <c r="AD17" s="222"/>
      <c r="AE17" s="223"/>
      <c r="AI17" s="356" t="s">
        <v>369</v>
      </c>
      <c r="AJ17" s="18"/>
      <c r="AK17" s="18"/>
      <c r="AL17" s="18"/>
      <c r="AM17" s="18"/>
      <c r="AN17" s="18"/>
      <c r="AO17" s="18"/>
      <c r="AP17" s="18"/>
      <c r="AQ17" s="18"/>
      <c r="AR17" s="18"/>
      <c r="AS17" s="18"/>
      <c r="AT17" s="18"/>
      <c r="AU17" s="18"/>
      <c r="AV17" s="18"/>
      <c r="AW17" s="18"/>
      <c r="AX17" s="18"/>
      <c r="AY17" s="18"/>
      <c r="AZ17" s="18"/>
      <c r="BA17" s="18"/>
      <c r="BB17" s="18"/>
      <c r="BC17" s="18"/>
    </row>
    <row r="18" spans="2:55" ht="15.6" x14ac:dyDescent="0.3">
      <c r="B18" s="30"/>
      <c r="C18" s="129">
        <f>'A1'!K23</f>
        <v>1</v>
      </c>
      <c r="D18" s="136" t="str">
        <f>'A1'!L23</f>
        <v>Voorkómen: niet doen wat echt niet hoeft</v>
      </c>
      <c r="E18" s="136"/>
      <c r="F18" s="136"/>
      <c r="G18" s="137"/>
      <c r="H18" s="137"/>
      <c r="I18" s="137"/>
      <c r="J18" s="137"/>
      <c r="K18" s="137"/>
      <c r="L18" s="137"/>
      <c r="M18" s="137"/>
      <c r="N18" s="137"/>
      <c r="O18" s="245"/>
      <c r="P18" s="246">
        <f>'A1'!W23</f>
        <v>0.27</v>
      </c>
      <c r="Q18" s="158" t="e">
        <f>P18*P19*S19</f>
        <v>#VALUE!</v>
      </c>
      <c r="R18" s="20"/>
      <c r="S18" s="123"/>
      <c r="T18" s="216"/>
      <c r="U18" s="216"/>
      <c r="V18" s="19"/>
      <c r="W18" s="19"/>
      <c r="X18" s="19"/>
      <c r="Y18" s="19"/>
      <c r="Z18" s="19"/>
      <c r="AA18" s="19"/>
      <c r="AB18" s="19"/>
      <c r="AC18" s="19"/>
      <c r="AD18" s="19"/>
      <c r="AE18" s="217"/>
      <c r="AI18" s="18"/>
      <c r="AJ18" s="18"/>
      <c r="AK18" s="18"/>
      <c r="AL18" s="18"/>
      <c r="AM18" s="18"/>
      <c r="AN18" s="18"/>
      <c r="AO18" s="18"/>
      <c r="AP18" s="18"/>
      <c r="AQ18" s="18"/>
      <c r="AR18" s="18"/>
      <c r="AS18" s="18"/>
      <c r="AT18" s="18"/>
      <c r="AU18" s="18"/>
      <c r="AV18" s="18"/>
      <c r="AW18" s="18"/>
      <c r="AX18" s="18"/>
      <c r="AY18" s="18"/>
      <c r="AZ18" s="18"/>
      <c r="BA18" s="18"/>
      <c r="BB18" s="18"/>
      <c r="BC18" s="18"/>
    </row>
    <row r="19" spans="2:55" ht="15.6" x14ac:dyDescent="0.3">
      <c r="B19" s="30"/>
      <c r="C19" s="380" t="str">
        <f>'A1'!K24</f>
        <v>a</v>
      </c>
      <c r="D19" s="381">
        <f>'A1'!N24</f>
        <v>0</v>
      </c>
      <c r="E19" s="154"/>
      <c r="F19" s="154"/>
      <c r="G19" s="154"/>
      <c r="H19" s="154"/>
      <c r="I19" s="154"/>
      <c r="J19" s="154"/>
      <c r="K19" s="154"/>
      <c r="L19" s="154"/>
      <c r="M19" s="154"/>
      <c r="N19" s="154"/>
      <c r="O19" s="480"/>
      <c r="P19" s="247">
        <f>'A1'!W24</f>
        <v>1</v>
      </c>
      <c r="Q19" s="191"/>
      <c r="R19" s="20"/>
      <c r="S19" s="481" t="str">
        <f>'A1'!AL24</f>
        <v>----</v>
      </c>
      <c r="T19" s="216"/>
      <c r="U19" s="216"/>
      <c r="V19" s="19"/>
      <c r="W19" s="19"/>
      <c r="X19" s="19"/>
      <c r="Y19" s="19"/>
      <c r="Z19" s="19"/>
      <c r="AA19" s="19"/>
      <c r="AB19" s="19"/>
      <c r="AC19" s="19"/>
      <c r="AD19" s="19"/>
      <c r="AE19" s="217"/>
      <c r="AI19" s="18" t="str">
        <f>IF(S19&gt;50,"","Verdiepend onderzoek naar "&amp;'A1'!L24)</f>
        <v/>
      </c>
      <c r="AJ19" s="18"/>
      <c r="AK19" s="18"/>
      <c r="AL19" s="18"/>
      <c r="AM19" s="18"/>
      <c r="AN19" s="18"/>
      <c r="AO19" s="18"/>
      <c r="AP19" s="18"/>
      <c r="AQ19" s="18"/>
      <c r="AR19" s="18"/>
      <c r="AS19" s="18"/>
      <c r="AT19" s="18"/>
      <c r="AU19" s="18"/>
      <c r="AV19" s="18"/>
      <c r="AW19" s="18"/>
      <c r="AX19" s="18"/>
      <c r="AY19" s="18"/>
      <c r="AZ19" s="18"/>
      <c r="BA19" s="18"/>
      <c r="BB19" s="18"/>
      <c r="BC19" s="18"/>
    </row>
    <row r="20" spans="2:55" ht="15.6" x14ac:dyDescent="0.3">
      <c r="B20" s="30"/>
      <c r="C20" s="130">
        <f>'A1'!K25</f>
        <v>2</v>
      </c>
      <c r="D20" s="138" t="str">
        <f>'A1'!L25</f>
        <v>Verleng de levensduur van bestaande objecten of componenten</v>
      </c>
      <c r="E20" s="138"/>
      <c r="F20" s="138"/>
      <c r="G20" s="138"/>
      <c r="H20" s="138"/>
      <c r="I20" s="139"/>
      <c r="J20" s="139"/>
      <c r="K20" s="139"/>
      <c r="L20" s="139"/>
      <c r="M20" s="139"/>
      <c r="N20" s="139"/>
      <c r="O20" s="251"/>
      <c r="P20" s="246">
        <f>'A1'!W25</f>
        <v>7.0000000000000007E-2</v>
      </c>
      <c r="Q20" s="158" t="e">
        <f>S21*P21*P20</f>
        <v>#VALUE!</v>
      </c>
      <c r="R20" s="20"/>
      <c r="S20" s="482"/>
      <c r="T20" s="216"/>
      <c r="U20" s="216"/>
      <c r="V20" s="19"/>
      <c r="W20" s="19"/>
      <c r="X20" s="19"/>
      <c r="Y20" s="19"/>
      <c r="Z20" s="19"/>
      <c r="AA20" s="19"/>
      <c r="AB20" s="19"/>
      <c r="AC20" s="19"/>
      <c r="AD20" s="19"/>
      <c r="AE20" s="217"/>
      <c r="AI20" s="18"/>
      <c r="AJ20" s="18"/>
      <c r="AK20" s="18"/>
      <c r="AL20" s="18"/>
      <c r="AM20" s="18"/>
      <c r="AN20" s="18"/>
      <c r="AO20" s="18"/>
      <c r="AP20" s="18"/>
      <c r="AQ20" s="18"/>
      <c r="AR20" s="18"/>
      <c r="AS20" s="18"/>
      <c r="AT20" s="18"/>
      <c r="AU20" s="18"/>
      <c r="AV20" s="18"/>
      <c r="AW20" s="18"/>
      <c r="AX20" s="18"/>
      <c r="AY20" s="18"/>
      <c r="AZ20" s="18"/>
      <c r="BA20" s="18"/>
      <c r="BB20" s="18"/>
      <c r="BC20" s="18"/>
    </row>
    <row r="21" spans="2:55" ht="15.6" x14ac:dyDescent="0.3">
      <c r="B21" s="30"/>
      <c r="C21" s="380" t="str">
        <f>'A1'!K26</f>
        <v>a</v>
      </c>
      <c r="D21" s="382">
        <f>'A1'!N26</f>
        <v>0</v>
      </c>
      <c r="E21" s="383"/>
      <c r="F21" s="383"/>
      <c r="G21" s="383"/>
      <c r="H21" s="383"/>
      <c r="I21" s="383"/>
      <c r="J21" s="383"/>
      <c r="K21" s="383"/>
      <c r="L21" s="383"/>
      <c r="M21" s="383"/>
      <c r="N21" s="383"/>
      <c r="O21" s="483"/>
      <c r="P21" s="247">
        <f>'A1'!W26</f>
        <v>1</v>
      </c>
      <c r="Q21" s="191"/>
      <c r="R21" s="20"/>
      <c r="S21" s="481" t="str">
        <f>'A1'!AL26</f>
        <v>----</v>
      </c>
      <c r="T21" s="216"/>
      <c r="U21" s="216"/>
      <c r="V21" s="19"/>
      <c r="W21" s="19"/>
      <c r="X21" s="19"/>
      <c r="Y21" s="19"/>
      <c r="Z21" s="19"/>
      <c r="AA21" s="19"/>
      <c r="AB21" s="19"/>
      <c r="AC21" s="19"/>
      <c r="AD21" s="19"/>
      <c r="AE21" s="217"/>
      <c r="AI21" s="18" t="str">
        <f>IF(S21&gt;50,"","Verdiepend onderzoek naar "&amp;'A1'!L26)</f>
        <v/>
      </c>
      <c r="AJ21" s="18"/>
      <c r="AK21" s="18"/>
      <c r="AL21" s="18"/>
      <c r="AM21" s="18"/>
      <c r="AN21" s="18"/>
      <c r="AO21" s="18"/>
      <c r="AP21" s="18"/>
      <c r="AQ21" s="18"/>
      <c r="AR21" s="18"/>
      <c r="AS21" s="18"/>
      <c r="AT21" s="18"/>
      <c r="AU21" s="18"/>
      <c r="AV21" s="18"/>
      <c r="AW21" s="18"/>
      <c r="AX21" s="18"/>
      <c r="AY21" s="18"/>
      <c r="AZ21" s="18"/>
      <c r="BA21" s="18"/>
      <c r="BB21" s="18"/>
      <c r="BC21" s="18"/>
    </row>
    <row r="22" spans="2:55" ht="15.6" x14ac:dyDescent="0.3">
      <c r="B22" s="30"/>
      <c r="C22" s="131">
        <f>'A1'!K27</f>
        <v>3</v>
      </c>
      <c r="D22" s="140" t="str">
        <f>'A1'!L27</f>
        <v>Duurzaam gebruik van bestaande objecten, materialen, grondstoffen en natuurlijke processen</v>
      </c>
      <c r="E22" s="140"/>
      <c r="F22" s="140"/>
      <c r="G22" s="140"/>
      <c r="H22" s="140"/>
      <c r="I22" s="140"/>
      <c r="J22" s="140"/>
      <c r="K22" s="140"/>
      <c r="L22" s="141"/>
      <c r="M22" s="141"/>
      <c r="N22" s="141"/>
      <c r="O22" s="252"/>
      <c r="P22" s="246">
        <f>'A1'!W27</f>
        <v>7.0000000000000007E-2</v>
      </c>
      <c r="Q22" s="158" t="e">
        <f>(S23*P23+S24*P24+S25*P25)*P22</f>
        <v>#VALUE!</v>
      </c>
      <c r="R22" s="20"/>
      <c r="S22" s="482"/>
      <c r="T22" s="216"/>
      <c r="U22" s="216"/>
      <c r="V22" s="19"/>
      <c r="W22" s="19"/>
      <c r="X22" s="19"/>
      <c r="Y22" s="19"/>
      <c r="Z22" s="19"/>
      <c r="AA22" s="19"/>
      <c r="AB22" s="19"/>
      <c r="AC22" s="19"/>
      <c r="AD22" s="19"/>
      <c r="AE22" s="217"/>
      <c r="AI22" s="18"/>
      <c r="AJ22" s="18"/>
      <c r="AK22" s="18"/>
      <c r="AL22" s="18"/>
      <c r="AM22" s="18"/>
      <c r="AN22" s="18"/>
      <c r="AO22" s="18"/>
      <c r="AP22" s="18"/>
      <c r="AQ22" s="18"/>
      <c r="AR22" s="18"/>
      <c r="AS22" s="18"/>
      <c r="AT22" s="18"/>
      <c r="AU22" s="18"/>
      <c r="AV22" s="18"/>
      <c r="AW22" s="18"/>
      <c r="AX22" s="18"/>
      <c r="AY22" s="18"/>
      <c r="AZ22" s="18"/>
      <c r="BA22" s="18"/>
      <c r="BB22" s="18"/>
      <c r="BC22" s="18"/>
    </row>
    <row r="23" spans="2:55" ht="15.6" x14ac:dyDescent="0.3">
      <c r="B23" s="30"/>
      <c r="C23" s="380" t="str">
        <f>'A1'!K28</f>
        <v>a</v>
      </c>
      <c r="D23" s="384">
        <f>'A1'!N28</f>
        <v>0</v>
      </c>
      <c r="E23" s="385"/>
      <c r="F23" s="385"/>
      <c r="G23" s="385"/>
      <c r="H23" s="385"/>
      <c r="I23" s="385"/>
      <c r="J23" s="385"/>
      <c r="K23" s="385"/>
      <c r="L23" s="385"/>
      <c r="M23" s="385"/>
      <c r="N23" s="385"/>
      <c r="O23" s="484"/>
      <c r="P23" s="247">
        <f>'A1'!W28</f>
        <v>0.4</v>
      </c>
      <c r="Q23" s="191"/>
      <c r="R23" s="20"/>
      <c r="S23" s="481" t="str">
        <f>'A1'!AL28</f>
        <v>----</v>
      </c>
      <c r="T23" s="216"/>
      <c r="U23" s="216"/>
      <c r="V23" s="19"/>
      <c r="W23" s="19"/>
      <c r="X23" s="19"/>
      <c r="Y23" s="19"/>
      <c r="Z23" s="19"/>
      <c r="AA23" s="19"/>
      <c r="AB23" s="19"/>
      <c r="AC23" s="19"/>
      <c r="AD23" s="19"/>
      <c r="AE23" s="217"/>
      <c r="AI23" s="18" t="str">
        <f>IF(S23&gt;50,"","Verdiepend onderzoek naar "&amp;'A1'!L28)</f>
        <v/>
      </c>
      <c r="AJ23" s="18"/>
      <c r="AK23" s="18"/>
      <c r="AL23" s="18"/>
      <c r="AM23" s="18"/>
      <c r="AN23" s="18"/>
      <c r="AO23" s="18"/>
      <c r="AP23" s="18"/>
      <c r="AQ23" s="18"/>
      <c r="AR23" s="18"/>
      <c r="AS23" s="18"/>
      <c r="AT23" s="18"/>
      <c r="AU23" s="18"/>
      <c r="AV23" s="18"/>
      <c r="AW23" s="18"/>
      <c r="AX23" s="18"/>
      <c r="AY23" s="18"/>
      <c r="AZ23" s="18"/>
      <c r="BA23" s="18"/>
      <c r="BB23" s="18"/>
      <c r="BC23" s="18"/>
    </row>
    <row r="24" spans="2:55" ht="15.6" x14ac:dyDescent="0.3">
      <c r="B24" s="30"/>
      <c r="C24" s="380" t="str">
        <f>'A1'!K29</f>
        <v>b</v>
      </c>
      <c r="D24" s="384">
        <f>'A1'!N29</f>
        <v>0</v>
      </c>
      <c r="E24" s="385"/>
      <c r="F24" s="385"/>
      <c r="G24" s="385"/>
      <c r="H24" s="385"/>
      <c r="I24" s="385"/>
      <c r="J24" s="385"/>
      <c r="K24" s="385"/>
      <c r="L24" s="385"/>
      <c r="M24" s="385"/>
      <c r="N24" s="385"/>
      <c r="O24" s="484"/>
      <c r="P24" s="247">
        <f>'A1'!W29</f>
        <v>0.4</v>
      </c>
      <c r="Q24" s="191"/>
      <c r="R24" s="20"/>
      <c r="S24" s="481" t="str">
        <f>'A1'!AL29</f>
        <v>----</v>
      </c>
      <c r="T24" s="216"/>
      <c r="U24" s="216"/>
      <c r="V24" s="19"/>
      <c r="W24" s="19"/>
      <c r="X24" s="19"/>
      <c r="Y24" s="19"/>
      <c r="Z24" s="19"/>
      <c r="AA24" s="19"/>
      <c r="AB24" s="19"/>
      <c r="AC24" s="19"/>
      <c r="AD24" s="19"/>
      <c r="AE24" s="217"/>
      <c r="AI24" s="18" t="str">
        <f>IF(S24&gt;50,"","Verdiepend onderzoek naar "&amp;'A1'!L29)</f>
        <v/>
      </c>
      <c r="AJ24" s="18"/>
      <c r="AK24" s="18"/>
      <c r="AL24" s="18"/>
      <c r="AM24" s="18"/>
      <c r="AN24" s="18"/>
      <c r="AO24" s="18"/>
      <c r="AP24" s="18"/>
      <c r="AQ24" s="18"/>
      <c r="AR24" s="18"/>
      <c r="AS24" s="18"/>
      <c r="AT24" s="18"/>
      <c r="AU24" s="18"/>
      <c r="AV24" s="18"/>
      <c r="AW24" s="18"/>
      <c r="AX24" s="18"/>
      <c r="AY24" s="18"/>
      <c r="AZ24" s="18"/>
      <c r="BA24" s="18"/>
      <c r="BB24" s="18"/>
      <c r="BC24" s="18"/>
    </row>
    <row r="25" spans="2:55" ht="15.6" x14ac:dyDescent="0.3">
      <c r="B25" s="30"/>
      <c r="C25" s="380" t="str">
        <f>'A1'!K30</f>
        <v>c</v>
      </c>
      <c r="D25" s="384">
        <f>'A1'!N30</f>
        <v>0</v>
      </c>
      <c r="E25" s="385"/>
      <c r="F25" s="385"/>
      <c r="G25" s="385"/>
      <c r="H25" s="385"/>
      <c r="I25" s="385"/>
      <c r="J25" s="385"/>
      <c r="K25" s="385"/>
      <c r="L25" s="385"/>
      <c r="M25" s="385"/>
      <c r="N25" s="385"/>
      <c r="O25" s="484"/>
      <c r="P25" s="247">
        <f>'A1'!W30</f>
        <v>0.2</v>
      </c>
      <c r="Q25" s="191"/>
      <c r="R25" s="20"/>
      <c r="S25" s="481" t="str">
        <f>'A1'!AL30</f>
        <v>----</v>
      </c>
      <c r="T25" s="216"/>
      <c r="U25" s="216"/>
      <c r="V25" s="19"/>
      <c r="W25" s="19"/>
      <c r="X25" s="19"/>
      <c r="Y25" s="19"/>
      <c r="Z25" s="19"/>
      <c r="AA25" s="19"/>
      <c r="AB25" s="19"/>
      <c r="AC25" s="19"/>
      <c r="AD25" s="19"/>
      <c r="AE25" s="217"/>
      <c r="AI25" s="18" t="str">
        <f>IF(S25&gt;50,"","Verdiepend onderzoek naar "&amp;'A1'!L30)</f>
        <v/>
      </c>
      <c r="AJ25" s="18"/>
      <c r="AK25" s="18"/>
      <c r="AL25" s="18"/>
      <c r="AM25" s="18"/>
      <c r="AN25" s="18"/>
      <c r="AO25" s="18"/>
      <c r="AP25" s="18"/>
      <c r="AQ25" s="18"/>
      <c r="AR25" s="18"/>
      <c r="AS25" s="18"/>
      <c r="AT25" s="18"/>
      <c r="AU25" s="18"/>
      <c r="AV25" s="18"/>
      <c r="AW25" s="18"/>
      <c r="AX25" s="18"/>
      <c r="AY25" s="18"/>
      <c r="AZ25" s="18"/>
      <c r="BA25" s="18"/>
      <c r="BB25" s="18"/>
      <c r="BC25" s="18"/>
    </row>
    <row r="26" spans="2:55" ht="15.6" x14ac:dyDescent="0.3">
      <c r="B26" s="30"/>
      <c r="C26" s="162">
        <f>'A1'!K31</f>
        <v>4</v>
      </c>
      <c r="D26" s="163" t="str">
        <f>'A1'!L31</f>
        <v>Ontwerp voor meerdere levenscycli</v>
      </c>
      <c r="E26" s="142"/>
      <c r="F26" s="142"/>
      <c r="G26" s="143"/>
      <c r="H26" s="143"/>
      <c r="I26" s="143"/>
      <c r="J26" s="143"/>
      <c r="K26" s="143"/>
      <c r="L26" s="143"/>
      <c r="M26" s="143"/>
      <c r="N26" s="143"/>
      <c r="O26" s="253"/>
      <c r="P26" s="246">
        <f>'A1'!W31</f>
        <v>7.0000000000000007E-2</v>
      </c>
      <c r="Q26" s="158" t="e">
        <f>(S27*P27+S28*P28)*P26</f>
        <v>#VALUE!</v>
      </c>
      <c r="R26" s="20"/>
      <c r="S26" s="482"/>
      <c r="T26" s="216"/>
      <c r="U26" s="216"/>
      <c r="V26" s="19"/>
      <c r="W26" s="19"/>
      <c r="X26" s="19"/>
      <c r="Y26" s="19"/>
      <c r="Z26" s="19"/>
      <c r="AA26" s="19"/>
      <c r="AB26" s="19"/>
      <c r="AC26" s="19"/>
      <c r="AD26" s="19"/>
      <c r="AE26" s="217"/>
      <c r="AI26" s="18"/>
      <c r="AJ26" s="18"/>
      <c r="AK26" s="18"/>
      <c r="AL26" s="18"/>
      <c r="AM26" s="18"/>
      <c r="AN26" s="18"/>
      <c r="AO26" s="18"/>
      <c r="AP26" s="18"/>
      <c r="AQ26" s="18"/>
      <c r="AR26" s="18"/>
      <c r="AS26" s="18"/>
      <c r="AT26" s="18"/>
      <c r="AU26" s="18"/>
      <c r="AV26" s="18"/>
      <c r="AW26" s="18"/>
      <c r="AX26" s="18"/>
      <c r="AY26" s="18"/>
      <c r="AZ26" s="18"/>
      <c r="BA26" s="18"/>
      <c r="BB26" s="18"/>
      <c r="BC26" s="18"/>
    </row>
    <row r="27" spans="2:55" ht="15.6" x14ac:dyDescent="0.3">
      <c r="B27" s="30"/>
      <c r="C27" s="380" t="str">
        <f>'A1'!K32</f>
        <v>a</v>
      </c>
      <c r="D27" s="386">
        <f>'A1'!N32</f>
        <v>0</v>
      </c>
      <c r="E27" s="387"/>
      <c r="F27" s="387"/>
      <c r="G27" s="387"/>
      <c r="H27" s="387"/>
      <c r="I27" s="387"/>
      <c r="J27" s="387"/>
      <c r="K27" s="387"/>
      <c r="L27" s="387"/>
      <c r="M27" s="387"/>
      <c r="N27" s="387"/>
      <c r="O27" s="485"/>
      <c r="P27" s="247">
        <f>'A1'!W32</f>
        <v>0.9</v>
      </c>
      <c r="Q27" s="191"/>
      <c r="R27" s="20"/>
      <c r="S27" s="481" t="str">
        <f>'A1'!AL32</f>
        <v>----</v>
      </c>
      <c r="T27" s="216"/>
      <c r="U27" s="216"/>
      <c r="V27" s="19"/>
      <c r="W27" s="19"/>
      <c r="X27" s="19"/>
      <c r="Y27" s="19"/>
      <c r="Z27" s="19"/>
      <c r="AA27" s="19"/>
      <c r="AB27" s="19"/>
      <c r="AC27" s="19"/>
      <c r="AD27" s="19"/>
      <c r="AE27" s="217"/>
      <c r="AI27" s="18" t="str">
        <f>IF(S27&gt;50,"","Verdiepend onderzoek naar "&amp;'A1'!L32)</f>
        <v/>
      </c>
      <c r="AJ27" s="18"/>
      <c r="AK27" s="18"/>
      <c r="AL27" s="18"/>
      <c r="AM27" s="18"/>
      <c r="AN27" s="18"/>
      <c r="AO27" s="18"/>
      <c r="AP27" s="18"/>
      <c r="AQ27" s="18"/>
      <c r="AR27" s="18"/>
      <c r="AS27" s="18"/>
      <c r="AT27" s="18"/>
      <c r="AU27" s="18"/>
      <c r="AV27" s="18"/>
      <c r="AW27" s="18"/>
      <c r="AX27" s="18"/>
      <c r="AY27" s="18"/>
      <c r="AZ27" s="18"/>
      <c r="BA27" s="18"/>
      <c r="BB27" s="18"/>
      <c r="BC27" s="18"/>
    </row>
    <row r="28" spans="2:55" ht="15.6" x14ac:dyDescent="0.3">
      <c r="B28" s="30"/>
      <c r="C28" s="380" t="str">
        <f>'A1'!K33</f>
        <v>b</v>
      </c>
      <c r="D28" s="386">
        <f>'A1'!N33</f>
        <v>0</v>
      </c>
      <c r="E28" s="387"/>
      <c r="F28" s="387"/>
      <c r="G28" s="387"/>
      <c r="H28" s="387"/>
      <c r="I28" s="387"/>
      <c r="J28" s="387"/>
      <c r="K28" s="387"/>
      <c r="L28" s="387"/>
      <c r="M28" s="387"/>
      <c r="N28" s="387"/>
      <c r="O28" s="485"/>
      <c r="P28" s="247">
        <f>'A1'!W33</f>
        <v>0.1</v>
      </c>
      <c r="Q28" s="191"/>
      <c r="R28" s="20"/>
      <c r="S28" s="481" t="str">
        <f>'A1'!AL33</f>
        <v>----</v>
      </c>
      <c r="T28" s="216"/>
      <c r="U28" s="216"/>
      <c r="V28" s="19"/>
      <c r="W28" s="19"/>
      <c r="X28" s="19"/>
      <c r="Y28" s="19"/>
      <c r="Z28" s="19"/>
      <c r="AA28" s="19"/>
      <c r="AB28" s="19"/>
      <c r="AC28" s="19"/>
      <c r="AD28" s="19"/>
      <c r="AE28" s="217"/>
      <c r="AI28" s="18" t="str">
        <f>IF(S28&gt;50,"","Verdiepend onderzoek naar "&amp;'A1'!L33)</f>
        <v/>
      </c>
      <c r="AJ28" s="18"/>
      <c r="AK28" s="18"/>
      <c r="AL28" s="18"/>
      <c r="AM28" s="18"/>
      <c r="AN28" s="18"/>
      <c r="AO28" s="18"/>
      <c r="AP28" s="18"/>
      <c r="AQ28" s="18"/>
      <c r="AR28" s="18"/>
      <c r="AS28" s="18"/>
      <c r="AT28" s="18"/>
      <c r="AU28" s="18"/>
      <c r="AV28" s="18"/>
      <c r="AW28" s="18"/>
      <c r="AX28" s="18"/>
      <c r="AY28" s="18"/>
      <c r="AZ28" s="18"/>
      <c r="BA28" s="18"/>
      <c r="BB28" s="18"/>
      <c r="BC28" s="18"/>
    </row>
    <row r="29" spans="2:55" ht="15.6" x14ac:dyDescent="0.3">
      <c r="B29" s="30"/>
      <c r="C29" s="132">
        <f>'A1'!K34</f>
        <v>5</v>
      </c>
      <c r="D29" s="144" t="str">
        <f>'A1'!L34</f>
        <v>Ontwerp toekomstbestendig</v>
      </c>
      <c r="E29" s="144"/>
      <c r="F29" s="145"/>
      <c r="G29" s="145"/>
      <c r="H29" s="145"/>
      <c r="I29" s="145"/>
      <c r="J29" s="145"/>
      <c r="K29" s="145"/>
      <c r="L29" s="145"/>
      <c r="M29" s="145"/>
      <c r="N29" s="145"/>
      <c r="O29" s="254"/>
      <c r="P29" s="246">
        <f>'A1'!W34</f>
        <v>0.1</v>
      </c>
      <c r="Q29" s="158" t="e">
        <f>P29*P30*S30</f>
        <v>#VALUE!</v>
      </c>
      <c r="R29" s="20"/>
      <c r="S29" s="482"/>
      <c r="T29" s="216"/>
      <c r="U29" s="216"/>
      <c r="V29" s="19"/>
      <c r="W29" s="19"/>
      <c r="X29" s="19"/>
      <c r="Y29" s="19"/>
      <c r="Z29" s="19"/>
      <c r="AA29" s="19"/>
      <c r="AB29" s="19"/>
      <c r="AC29" s="19"/>
      <c r="AD29" s="19"/>
      <c r="AE29" s="217"/>
      <c r="AI29" s="18"/>
      <c r="AJ29" s="18"/>
      <c r="AK29" s="18"/>
      <c r="AL29" s="18"/>
      <c r="AM29" s="18"/>
      <c r="AN29" s="18"/>
      <c r="AO29" s="18"/>
      <c r="AP29" s="18"/>
      <c r="AQ29" s="18"/>
      <c r="AR29" s="18"/>
      <c r="AS29" s="18"/>
      <c r="AT29" s="18"/>
      <c r="AU29" s="18"/>
      <c r="AV29" s="18"/>
      <c r="AW29" s="18"/>
      <c r="AX29" s="18"/>
      <c r="AY29" s="18"/>
      <c r="AZ29" s="18"/>
      <c r="BA29" s="18"/>
      <c r="BB29" s="18"/>
      <c r="BC29" s="18"/>
    </row>
    <row r="30" spans="2:55" ht="15.6" x14ac:dyDescent="0.3">
      <c r="B30" s="30"/>
      <c r="C30" s="380" t="str">
        <f>'A1'!K35</f>
        <v>a</v>
      </c>
      <c r="D30" s="388">
        <f>'A1'!N35</f>
        <v>0</v>
      </c>
      <c r="E30" s="19"/>
      <c r="F30" s="19"/>
      <c r="G30" s="19"/>
      <c r="H30" s="19"/>
      <c r="I30" s="19"/>
      <c r="J30" s="19"/>
      <c r="K30" s="19"/>
      <c r="L30" s="19"/>
      <c r="M30" s="19"/>
      <c r="N30" s="19"/>
      <c r="O30" s="486"/>
      <c r="P30" s="247">
        <f>'A1'!W35</f>
        <v>1</v>
      </c>
      <c r="Q30" s="191"/>
      <c r="R30" s="20"/>
      <c r="S30" s="481" t="str">
        <f>'A1'!AL35</f>
        <v>----</v>
      </c>
      <c r="T30" s="216"/>
      <c r="U30" s="216"/>
      <c r="V30" s="19"/>
      <c r="W30" s="19"/>
      <c r="X30" s="19"/>
      <c r="Y30" s="19"/>
      <c r="Z30" s="19"/>
      <c r="AA30" s="19"/>
      <c r="AB30" s="19"/>
      <c r="AC30" s="19"/>
      <c r="AD30" s="19"/>
      <c r="AE30" s="217"/>
      <c r="AI30" s="18" t="str">
        <f>IF(S30&gt;50,"","Verdiepend onderzoek naar "&amp;'A1'!L35)</f>
        <v/>
      </c>
      <c r="AJ30" s="18"/>
      <c r="AK30" s="18"/>
      <c r="AL30" s="18"/>
      <c r="AM30" s="18"/>
      <c r="AN30" s="18"/>
      <c r="AO30" s="18"/>
      <c r="AP30" s="18"/>
      <c r="AQ30" s="18"/>
      <c r="AR30" s="18"/>
      <c r="AS30" s="18"/>
      <c r="AT30" s="18"/>
      <c r="AU30" s="18"/>
      <c r="AV30" s="18"/>
      <c r="AW30" s="18"/>
      <c r="AX30" s="18"/>
      <c r="AY30" s="18"/>
      <c r="AZ30" s="18"/>
      <c r="BA30" s="18"/>
      <c r="BB30" s="18"/>
      <c r="BC30" s="18"/>
    </row>
    <row r="31" spans="2:55" ht="15.6" x14ac:dyDescent="0.3">
      <c r="B31" s="30"/>
      <c r="C31" s="133">
        <f>'A1'!K36</f>
        <v>6</v>
      </c>
      <c r="D31" s="146" t="str">
        <f>'A1'!L36</f>
        <v xml:space="preserve">Ontwerp voor optimaal beheer en onderhoud </v>
      </c>
      <c r="E31" s="146"/>
      <c r="F31" s="146"/>
      <c r="G31" s="146"/>
      <c r="H31" s="147"/>
      <c r="I31" s="147"/>
      <c r="J31" s="147"/>
      <c r="K31" s="147"/>
      <c r="L31" s="147"/>
      <c r="M31" s="147"/>
      <c r="N31" s="147"/>
      <c r="O31" s="255"/>
      <c r="P31" s="246">
        <f>'A1'!W36</f>
        <v>7.0000000000000007E-2</v>
      </c>
      <c r="Q31" s="158" t="e">
        <f>P31*P32*S32</f>
        <v>#VALUE!</v>
      </c>
      <c r="R31" s="20"/>
      <c r="S31" s="482"/>
      <c r="T31" s="216"/>
      <c r="U31" s="216"/>
      <c r="V31" s="19"/>
      <c r="W31" s="19"/>
      <c r="X31" s="19"/>
      <c r="Y31" s="19"/>
      <c r="Z31" s="19"/>
      <c r="AA31" s="19"/>
      <c r="AB31" s="19"/>
      <c r="AC31" s="19"/>
      <c r="AD31" s="19"/>
      <c r="AE31" s="217"/>
      <c r="AI31" s="18"/>
      <c r="AJ31" s="18"/>
      <c r="AK31" s="18"/>
      <c r="AL31" s="18"/>
      <c r="AM31" s="18"/>
      <c r="AN31" s="18"/>
      <c r="AO31" s="18"/>
      <c r="AP31" s="18"/>
      <c r="AQ31" s="18"/>
      <c r="AR31" s="18"/>
      <c r="AS31" s="18"/>
      <c r="AT31" s="18"/>
      <c r="AU31" s="18"/>
      <c r="AV31" s="18"/>
      <c r="AW31" s="18"/>
      <c r="AX31" s="18"/>
      <c r="AY31" s="18"/>
      <c r="AZ31" s="18"/>
      <c r="BA31" s="18"/>
      <c r="BB31" s="18"/>
      <c r="BC31" s="18"/>
    </row>
    <row r="32" spans="2:55" ht="15.6" x14ac:dyDescent="0.3">
      <c r="B32" s="30"/>
      <c r="C32" s="380" t="str">
        <f>'A1'!K37</f>
        <v>a</v>
      </c>
      <c r="D32" s="649">
        <f>'A1'!N37</f>
        <v>0</v>
      </c>
      <c r="E32" s="650"/>
      <c r="F32" s="650"/>
      <c r="G32" s="650"/>
      <c r="H32" s="650"/>
      <c r="I32" s="650"/>
      <c r="J32" s="650"/>
      <c r="K32" s="650"/>
      <c r="L32" s="650"/>
      <c r="M32" s="650"/>
      <c r="N32" s="650"/>
      <c r="O32" s="651"/>
      <c r="P32" s="247">
        <f>'A1'!W37</f>
        <v>1</v>
      </c>
      <c r="Q32" s="191"/>
      <c r="R32" s="20"/>
      <c r="S32" s="481" t="str">
        <f>'A1'!AL37</f>
        <v>----</v>
      </c>
      <c r="T32" s="216"/>
      <c r="U32" s="216"/>
      <c r="V32" s="19"/>
      <c r="W32" s="19"/>
      <c r="X32" s="19"/>
      <c r="Y32" s="19"/>
      <c r="Z32" s="19"/>
      <c r="AA32" s="19"/>
      <c r="AB32" s="19"/>
      <c r="AC32" s="19"/>
      <c r="AD32" s="19"/>
      <c r="AE32" s="217"/>
      <c r="AI32" s="18" t="str">
        <f>IF(S32&gt;50,"","Verdiepend onderzoek naar "&amp;'A1'!L37)</f>
        <v/>
      </c>
      <c r="AJ32" s="18"/>
      <c r="AK32" s="18"/>
      <c r="AL32" s="18"/>
      <c r="AM32" s="18"/>
      <c r="AN32" s="18"/>
      <c r="AO32" s="18"/>
      <c r="AP32" s="18"/>
      <c r="AQ32" s="18"/>
      <c r="AR32" s="18"/>
      <c r="AS32" s="18"/>
      <c r="AT32" s="18"/>
      <c r="AU32" s="18"/>
      <c r="AV32" s="18"/>
      <c r="AW32" s="18"/>
      <c r="AX32" s="18"/>
      <c r="AY32" s="18"/>
      <c r="AZ32" s="18"/>
      <c r="BA32" s="18"/>
      <c r="BB32" s="18"/>
      <c r="BC32" s="18"/>
    </row>
    <row r="33" spans="2:55" ht="15.6" x14ac:dyDescent="0.3">
      <c r="B33" s="30"/>
      <c r="C33" s="134">
        <f>'A1'!K38</f>
        <v>7</v>
      </c>
      <c r="D33" s="148" t="str">
        <f>'A1'!L38</f>
        <v>Duurzaam materiaalgebruik (hoeveel x milieubelasting)</v>
      </c>
      <c r="E33" s="148"/>
      <c r="F33" s="148"/>
      <c r="G33" s="148"/>
      <c r="H33" s="149"/>
      <c r="I33" s="149"/>
      <c r="J33" s="149"/>
      <c r="K33" s="149"/>
      <c r="L33" s="149"/>
      <c r="M33" s="149"/>
      <c r="N33" s="149"/>
      <c r="O33" s="256"/>
      <c r="P33" s="246">
        <f>'A1'!W38</f>
        <v>0.25</v>
      </c>
      <c r="Q33" s="158" t="e">
        <f>(S34*P34+S35*P35)*P33</f>
        <v>#VALUE!</v>
      </c>
      <c r="R33" s="20"/>
      <c r="S33" s="482"/>
      <c r="T33" s="216"/>
      <c r="U33" s="216"/>
      <c r="V33" s="19"/>
      <c r="W33" s="19"/>
      <c r="X33" s="19"/>
      <c r="Y33" s="19"/>
      <c r="Z33" s="19"/>
      <c r="AA33" s="19"/>
      <c r="AB33" s="19"/>
      <c r="AC33" s="19"/>
      <c r="AD33" s="19"/>
      <c r="AE33" s="217"/>
      <c r="AI33" s="18"/>
      <c r="AJ33" s="18"/>
      <c r="AK33" s="18"/>
      <c r="AL33" s="18"/>
      <c r="AM33" s="18"/>
      <c r="AN33" s="18"/>
      <c r="AO33" s="18"/>
      <c r="AP33" s="18"/>
      <c r="AQ33" s="18"/>
      <c r="AR33" s="18"/>
      <c r="AS33" s="18"/>
      <c r="AT33" s="18"/>
      <c r="AU33" s="18"/>
      <c r="AV33" s="18"/>
      <c r="AW33" s="18"/>
      <c r="AX33" s="18"/>
      <c r="AY33" s="18"/>
      <c r="AZ33" s="18"/>
      <c r="BA33" s="18"/>
      <c r="BB33" s="18"/>
      <c r="BC33" s="18"/>
    </row>
    <row r="34" spans="2:55" ht="15.6" x14ac:dyDescent="0.3">
      <c r="B34" s="30"/>
      <c r="C34" s="380" t="str">
        <f>'A1'!K39</f>
        <v>a</v>
      </c>
      <c r="D34" s="389">
        <f>'A1'!N39</f>
        <v>0</v>
      </c>
      <c r="E34" s="390"/>
      <c r="F34" s="390"/>
      <c r="G34" s="390"/>
      <c r="H34" s="390"/>
      <c r="I34" s="390"/>
      <c r="J34" s="390"/>
      <c r="K34" s="390"/>
      <c r="L34" s="390"/>
      <c r="M34" s="390"/>
      <c r="N34" s="390"/>
      <c r="O34" s="487"/>
      <c r="P34" s="247">
        <f>'A1'!W39</f>
        <v>0.8</v>
      </c>
      <c r="Q34" s="191"/>
      <c r="R34" s="20"/>
      <c r="S34" s="481" t="str">
        <f>'A1'!AL39</f>
        <v>----</v>
      </c>
      <c r="T34" s="216"/>
      <c r="U34" s="216"/>
      <c r="V34" s="19"/>
      <c r="W34" s="19"/>
      <c r="X34" s="19"/>
      <c r="Y34" s="19"/>
      <c r="Z34" s="19"/>
      <c r="AA34" s="19"/>
      <c r="AB34" s="19"/>
      <c r="AC34" s="19"/>
      <c r="AD34" s="19"/>
      <c r="AE34" s="217"/>
      <c r="AI34" s="18" t="str">
        <f>IF(S34&gt;50,"","Verdiepend onderzoek naar "&amp;'A1'!L39)</f>
        <v/>
      </c>
      <c r="AJ34" s="18"/>
      <c r="AK34" s="18"/>
      <c r="AL34" s="18"/>
      <c r="AM34" s="18"/>
      <c r="AN34" s="18"/>
      <c r="AO34" s="18"/>
      <c r="AP34" s="18"/>
      <c r="AQ34" s="18"/>
      <c r="AR34" s="18"/>
      <c r="AS34" s="18"/>
      <c r="AT34" s="18"/>
      <c r="AU34" s="18"/>
      <c r="AV34" s="18"/>
      <c r="AW34" s="18"/>
      <c r="AX34" s="18"/>
      <c r="AY34" s="18"/>
      <c r="AZ34" s="18"/>
      <c r="BA34" s="18"/>
      <c r="BB34" s="18"/>
      <c r="BC34" s="18"/>
    </row>
    <row r="35" spans="2:55" ht="15.6" x14ac:dyDescent="0.3">
      <c r="B35" s="30"/>
      <c r="C35" s="380" t="str">
        <f>'A1'!K40</f>
        <v>b</v>
      </c>
      <c r="D35" s="389">
        <f>'A1'!N40</f>
        <v>0</v>
      </c>
      <c r="E35" s="390"/>
      <c r="F35" s="390"/>
      <c r="G35" s="390"/>
      <c r="H35" s="390"/>
      <c r="I35" s="390"/>
      <c r="J35" s="390"/>
      <c r="K35" s="390"/>
      <c r="L35" s="390"/>
      <c r="M35" s="390"/>
      <c r="N35" s="390"/>
      <c r="O35" s="487"/>
      <c r="P35" s="247">
        <f>'A1'!W40</f>
        <v>0.19999999999999996</v>
      </c>
      <c r="Q35" s="191"/>
      <c r="R35" s="20"/>
      <c r="S35" s="481" t="str">
        <f>'A1'!AL40</f>
        <v>----</v>
      </c>
      <c r="T35" s="216"/>
      <c r="U35" s="216"/>
      <c r="V35" s="19"/>
      <c r="W35" s="19"/>
      <c r="X35" s="19"/>
      <c r="Y35" s="19"/>
      <c r="Z35" s="19"/>
      <c r="AA35" s="19"/>
      <c r="AB35" s="19"/>
      <c r="AC35" s="19"/>
      <c r="AD35" s="19"/>
      <c r="AE35" s="217"/>
      <c r="AI35" s="18" t="str">
        <f>IF(S35&gt;50,"","Verdiepend onderzoek naar "&amp;'A1'!L40)</f>
        <v/>
      </c>
      <c r="AJ35" s="18"/>
      <c r="AK35" s="18"/>
      <c r="AL35" s="18"/>
      <c r="AM35" s="18"/>
      <c r="AN35" s="18"/>
      <c r="AO35" s="18"/>
      <c r="AP35" s="18"/>
      <c r="AQ35" s="18"/>
      <c r="AR35" s="18"/>
      <c r="AS35" s="18"/>
      <c r="AT35" s="18"/>
      <c r="AU35" s="18"/>
      <c r="AV35" s="18"/>
      <c r="AW35" s="18"/>
      <c r="AX35" s="18"/>
      <c r="AY35" s="18"/>
      <c r="AZ35" s="18"/>
      <c r="BA35" s="18"/>
      <c r="BB35" s="18"/>
      <c r="BC35" s="18"/>
    </row>
    <row r="36" spans="2:55" ht="15.6" x14ac:dyDescent="0.3">
      <c r="B36" s="30"/>
      <c r="C36" s="135">
        <f>'A1'!K41</f>
        <v>8</v>
      </c>
      <c r="D36" s="150" t="str">
        <f>'A1'!L41</f>
        <v>Ontwerp voor minimaal grondstof- en energiegebruik in de aanleg/gebruiksfase</v>
      </c>
      <c r="E36" s="150"/>
      <c r="F36" s="150"/>
      <c r="G36" s="150"/>
      <c r="H36" s="150"/>
      <c r="I36" s="150"/>
      <c r="J36" s="150"/>
      <c r="K36" s="151"/>
      <c r="L36" s="151"/>
      <c r="M36" s="151"/>
      <c r="N36" s="151"/>
      <c r="O36" s="257"/>
      <c r="P36" s="246">
        <f>'A1'!W41</f>
        <v>0.1</v>
      </c>
      <c r="Q36" s="158" t="e">
        <f>P36*P37*S37</f>
        <v>#VALUE!</v>
      </c>
      <c r="R36" s="20"/>
      <c r="S36" s="482"/>
      <c r="T36" s="216"/>
      <c r="U36" s="216"/>
      <c r="V36" s="19"/>
      <c r="W36" s="19"/>
      <c r="X36" s="19"/>
      <c r="Y36" s="19"/>
      <c r="Z36" s="19"/>
      <c r="AA36" s="19"/>
      <c r="AB36" s="19"/>
      <c r="AC36" s="19"/>
      <c r="AD36" s="19"/>
      <c r="AE36" s="217"/>
      <c r="AI36" s="18"/>
      <c r="AJ36" s="18"/>
      <c r="AK36" s="18"/>
      <c r="AL36" s="18"/>
      <c r="AM36" s="18"/>
      <c r="AN36" s="18"/>
      <c r="AO36" s="18"/>
      <c r="AP36" s="18"/>
      <c r="AQ36" s="18"/>
      <c r="AR36" s="18"/>
      <c r="AS36" s="18"/>
      <c r="AT36" s="18"/>
      <c r="AU36" s="18"/>
      <c r="AV36" s="18"/>
      <c r="AW36" s="18"/>
      <c r="AX36" s="18"/>
      <c r="AY36" s="18"/>
      <c r="AZ36" s="18"/>
      <c r="BA36" s="18"/>
      <c r="BB36" s="18"/>
      <c r="BC36" s="18"/>
    </row>
    <row r="37" spans="2:55" ht="16.2" thickBot="1" x14ac:dyDescent="0.35">
      <c r="B37" s="30"/>
      <c r="C37" s="391" t="str">
        <f>'A1'!K42</f>
        <v>a</v>
      </c>
      <c r="D37" s="394">
        <f>'A1'!N42</f>
        <v>0</v>
      </c>
      <c r="E37" s="392"/>
      <c r="F37" s="392"/>
      <c r="G37" s="392"/>
      <c r="H37" s="392"/>
      <c r="I37" s="392"/>
      <c r="J37" s="392"/>
      <c r="K37" s="392"/>
      <c r="L37" s="392"/>
      <c r="M37" s="392"/>
      <c r="N37" s="392"/>
      <c r="O37" s="393"/>
      <c r="P37" s="248">
        <f>'A1'!W42</f>
        <v>1</v>
      </c>
      <c r="Q37" s="192"/>
      <c r="R37" s="20"/>
      <c r="S37" s="481" t="str">
        <f>'A1'!AL42</f>
        <v>----</v>
      </c>
      <c r="T37" s="216" t="str">
        <f>IF(S37&lt;75,'info weging'!I157,"")</f>
        <v/>
      </c>
      <c r="U37" s="216"/>
      <c r="V37" s="19"/>
      <c r="W37" s="19"/>
      <c r="X37" s="19"/>
      <c r="Y37" s="19"/>
      <c r="Z37" s="19"/>
      <c r="AA37" s="19"/>
      <c r="AB37" s="19"/>
      <c r="AC37" s="19"/>
      <c r="AD37" s="19"/>
      <c r="AE37" s="217"/>
      <c r="AI37" s="18" t="str">
        <f>IF(S37&gt;50,"","Verdiepend onderzoek naar "&amp;'A1'!L42)</f>
        <v/>
      </c>
      <c r="AJ37" s="18"/>
      <c r="AK37" s="18"/>
      <c r="AL37" s="18"/>
      <c r="AM37" s="18"/>
      <c r="AN37" s="18"/>
      <c r="AO37" s="18"/>
      <c r="AP37" s="18"/>
      <c r="AQ37" s="18"/>
      <c r="AR37" s="18"/>
      <c r="AS37" s="18"/>
      <c r="AT37" s="18"/>
      <c r="AU37" s="18"/>
      <c r="AV37" s="18"/>
      <c r="AW37" s="18"/>
      <c r="AX37" s="18"/>
      <c r="AY37" s="18"/>
      <c r="AZ37" s="18"/>
      <c r="BA37" s="18"/>
      <c r="BB37" s="18"/>
      <c r="BC37" s="18"/>
    </row>
    <row r="38" spans="2:55" ht="16.2" thickBot="1" x14ac:dyDescent="0.35">
      <c r="B38" s="30"/>
      <c r="C38" s="193" t="s">
        <v>143</v>
      </c>
      <c r="D38" s="194"/>
      <c r="E38" s="194"/>
      <c r="F38" s="194"/>
      <c r="G38" s="194"/>
      <c r="H38" s="194"/>
      <c r="I38" s="194"/>
      <c r="J38" s="194"/>
      <c r="K38" s="194"/>
      <c r="L38" s="194"/>
      <c r="M38" s="194"/>
      <c r="N38" s="194"/>
      <c r="O38" s="258"/>
      <c r="P38" s="249">
        <v>1</v>
      </c>
      <c r="Q38" s="195" t="e">
        <f>SUM(Q18:Q37)</f>
        <v>#VALUE!</v>
      </c>
      <c r="R38" s="20"/>
      <c r="S38" s="488"/>
      <c r="T38" s="216"/>
      <c r="U38" s="216"/>
      <c r="V38" s="19"/>
      <c r="W38" s="19"/>
      <c r="X38" s="19"/>
      <c r="Y38" s="19"/>
      <c r="Z38" s="19"/>
      <c r="AA38" s="19"/>
      <c r="AB38" s="19"/>
      <c r="AC38" s="19"/>
      <c r="AD38" s="19"/>
      <c r="AE38" s="217"/>
      <c r="AI38" s="18"/>
      <c r="AJ38" s="18"/>
      <c r="AK38" s="18"/>
      <c r="AL38" s="18"/>
      <c r="AM38" s="18"/>
      <c r="AN38" s="18"/>
      <c r="AO38" s="18"/>
      <c r="AP38" s="18"/>
      <c r="AQ38" s="18"/>
      <c r="AR38" s="18"/>
      <c r="AS38" s="18"/>
      <c r="AT38" s="18"/>
      <c r="AU38" s="18"/>
      <c r="AV38" s="18"/>
      <c r="AW38" s="18"/>
      <c r="AX38" s="18"/>
      <c r="AY38" s="18"/>
      <c r="AZ38" s="18"/>
      <c r="BA38" s="18"/>
      <c r="BB38" s="18"/>
      <c r="BC38" s="18"/>
    </row>
    <row r="39" spans="2:55" ht="16.2" thickBot="1" x14ac:dyDescent="0.35">
      <c r="B39" s="30"/>
      <c r="C39" s="640" t="s">
        <v>321</v>
      </c>
      <c r="D39" s="164" t="s">
        <v>358</v>
      </c>
      <c r="E39" s="164"/>
      <c r="F39" s="164"/>
      <c r="G39" s="164"/>
      <c r="H39" s="164"/>
      <c r="I39" s="164"/>
      <c r="J39" s="164"/>
      <c r="K39" s="164"/>
      <c r="L39" s="164"/>
      <c r="M39" s="164"/>
      <c r="N39" s="209"/>
      <c r="O39" s="724"/>
      <c r="P39" s="250">
        <v>1</v>
      </c>
      <c r="Q39" s="190">
        <f>'A1'!AP44</f>
        <v>0</v>
      </c>
      <c r="R39" s="20"/>
      <c r="S39" s="488"/>
      <c r="T39" s="216"/>
      <c r="U39" s="216"/>
      <c r="V39" s="19"/>
      <c r="W39" s="19"/>
      <c r="X39" s="19"/>
      <c r="Y39" s="19"/>
      <c r="Z39" s="19"/>
      <c r="AA39" s="19"/>
      <c r="AB39" s="19"/>
      <c r="AC39" s="19"/>
      <c r="AD39" s="19"/>
      <c r="AE39" s="217"/>
      <c r="AI39" s="18" t="str">
        <f>IF('A1'!AR44=0,"",'A1'!AR44)</f>
        <v/>
      </c>
      <c r="AJ39" s="18"/>
      <c r="AK39" s="18"/>
      <c r="AL39" s="18"/>
      <c r="AM39" s="18"/>
      <c r="AN39" s="18"/>
      <c r="AO39" s="18"/>
      <c r="AP39" s="18"/>
      <c r="AQ39" s="18"/>
      <c r="AR39" s="18"/>
      <c r="AS39" s="18"/>
      <c r="AT39" s="18"/>
      <c r="AU39" s="18"/>
      <c r="AV39" s="18"/>
      <c r="AW39" s="18"/>
      <c r="AX39" s="18"/>
      <c r="AY39" s="18"/>
      <c r="AZ39" s="18"/>
      <c r="BA39" s="18"/>
      <c r="BB39" s="18"/>
      <c r="BC39" s="18"/>
    </row>
    <row r="40" spans="2:55" ht="16.2" thickBot="1" x14ac:dyDescent="0.35">
      <c r="B40" s="30"/>
      <c r="C40" s="197" t="s">
        <v>144</v>
      </c>
      <c r="D40" s="198"/>
      <c r="E40" s="198"/>
      <c r="F40" s="198"/>
      <c r="G40" s="198"/>
      <c r="H40" s="198"/>
      <c r="I40" s="198"/>
      <c r="J40" s="198"/>
      <c r="K40" s="198"/>
      <c r="L40" s="198"/>
      <c r="M40" s="198"/>
      <c r="N40" s="208"/>
      <c r="O40" s="199"/>
      <c r="P40" s="198"/>
      <c r="Q40" s="200" t="e">
        <f>Q38+Q39</f>
        <v>#VALUE!</v>
      </c>
      <c r="R40" s="20"/>
      <c r="S40" s="488"/>
      <c r="T40" s="218"/>
      <c r="U40" s="218"/>
      <c r="V40" s="219"/>
      <c r="W40" s="219"/>
      <c r="X40" s="219"/>
      <c r="Y40" s="219"/>
      <c r="Z40" s="219"/>
      <c r="AA40" s="219"/>
      <c r="AB40" s="219"/>
      <c r="AC40" s="219"/>
      <c r="AD40" s="219"/>
      <c r="AE40" s="220"/>
      <c r="AI40" s="355"/>
      <c r="AJ40" s="355"/>
      <c r="AK40" s="355"/>
      <c r="AL40" s="355"/>
      <c r="AM40" s="355"/>
      <c r="AN40" s="355"/>
      <c r="AO40" s="355"/>
      <c r="AP40" s="355"/>
      <c r="AQ40" s="355"/>
      <c r="AR40" s="355"/>
      <c r="AS40" s="355"/>
      <c r="AT40" s="355"/>
      <c r="AU40" s="355"/>
      <c r="AV40" s="355"/>
      <c r="AW40" s="355"/>
      <c r="AX40" s="355"/>
      <c r="AY40" s="355"/>
      <c r="AZ40" s="355"/>
      <c r="BA40" s="355"/>
      <c r="BB40" s="355"/>
      <c r="BC40" s="355"/>
    </row>
    <row r="41" spans="2:55" x14ac:dyDescent="0.3">
      <c r="B41" s="31"/>
      <c r="C41" s="489" t="s">
        <v>145</v>
      </c>
      <c r="D41" s="38"/>
      <c r="E41" s="38"/>
      <c r="F41" s="38"/>
      <c r="G41" s="38"/>
      <c r="H41" s="38"/>
      <c r="I41" s="38"/>
      <c r="J41" s="38"/>
      <c r="K41" s="38"/>
      <c r="L41" s="38"/>
      <c r="M41" s="38"/>
      <c r="N41" s="490">
        <v>0</v>
      </c>
      <c r="O41" s="491">
        <v>100</v>
      </c>
      <c r="P41" s="643" t="s">
        <v>323</v>
      </c>
      <c r="Q41" s="644" t="e">
        <f>100-Q40</f>
        <v>#VALUE!</v>
      </c>
      <c r="R41" s="38"/>
      <c r="S41" s="125"/>
    </row>
    <row r="42" spans="2:55" x14ac:dyDescent="0.3">
      <c r="H42" s="109"/>
      <c r="I42" s="109"/>
      <c r="J42" s="109"/>
      <c r="K42" s="109"/>
      <c r="L42" s="109"/>
      <c r="M42" s="109"/>
      <c r="N42" s="109"/>
      <c r="P42" s="109"/>
      <c r="Q42" s="109"/>
    </row>
  </sheetData>
  <sheetProtection algorithmName="SHA-512" hashValue="6TYsDMMgLcHQtglJvGvcdP7dESOkWs6cpGmVg+uIAUEiym8qeFGr8Qzl+BZM6WotmqtcNP9JkaiVwACzs3xL/w==" saltValue="CqZH+JcqHUB3lmQiyYHc+g==" spinCount="100000" sheet="1" objects="1" scenarios="1"/>
  <conditionalFormatting sqref="R3:R5">
    <cfRule type="colorScale" priority="28">
      <colorScale>
        <cfvo type="min"/>
        <cfvo type="percentile" val="50"/>
        <cfvo type="max"/>
        <color rgb="FFF8696B"/>
        <color rgb="FFFFEB84"/>
        <color rgb="FF63BE7B"/>
      </colorScale>
    </cfRule>
  </conditionalFormatting>
  <conditionalFormatting sqref="N18:N37 N39:N40 O26">
    <cfRule type="iconSet" priority="26">
      <iconSet iconSet="4TrafficLights">
        <cfvo type="percent" val="0"/>
        <cfvo type="num" val="25" gte="0"/>
        <cfvo type="num" val="50" gte="0"/>
        <cfvo type="num" val="75" gte="0"/>
      </iconSet>
    </cfRule>
    <cfRule type="iconSet" priority="27">
      <iconSet iconSet="4TrafficLights">
        <cfvo type="percent" val="0"/>
        <cfvo type="num" val="0"/>
        <cfvo type="num" val="0"/>
        <cfvo type="num" val="76"/>
      </iconSet>
    </cfRule>
  </conditionalFormatting>
  <conditionalFormatting sqref="S20 S22 S26 S29 S31 S33 S36">
    <cfRule type="iconSet" priority="24">
      <iconSet iconSet="4TrafficLights">
        <cfvo type="percent" val="0"/>
        <cfvo type="num" val="25" gte="0"/>
        <cfvo type="num" val="50" gte="0"/>
        <cfvo type="num" val="75" gte="0"/>
      </iconSet>
    </cfRule>
    <cfRule type="iconSet" priority="25">
      <iconSet iconSet="4TrafficLights">
        <cfvo type="percent" val="0"/>
        <cfvo type="num" val="0"/>
        <cfvo type="num" val="0"/>
        <cfvo type="num" val="76"/>
      </iconSet>
    </cfRule>
  </conditionalFormatting>
  <conditionalFormatting sqref="O29">
    <cfRule type="iconSet" priority="22">
      <iconSet iconSet="4TrafficLights">
        <cfvo type="percent" val="0"/>
        <cfvo type="num" val="25" gte="0"/>
        <cfvo type="num" val="50" gte="0"/>
        <cfvo type="num" val="75" gte="0"/>
      </iconSet>
    </cfRule>
    <cfRule type="iconSet" priority="23">
      <iconSet iconSet="4TrafficLights">
        <cfvo type="percent" val="0"/>
        <cfvo type="num" val="0"/>
        <cfvo type="num" val="0"/>
        <cfvo type="num" val="76"/>
      </iconSet>
    </cfRule>
  </conditionalFormatting>
  <conditionalFormatting sqref="O31">
    <cfRule type="iconSet" priority="20">
      <iconSet iconSet="4TrafficLights">
        <cfvo type="percent" val="0"/>
        <cfvo type="num" val="25" gte="0"/>
        <cfvo type="num" val="50" gte="0"/>
        <cfvo type="num" val="75" gte="0"/>
      </iconSet>
    </cfRule>
    <cfRule type="iconSet" priority="21">
      <iconSet iconSet="4TrafficLights">
        <cfvo type="percent" val="0"/>
        <cfvo type="num" val="0"/>
        <cfvo type="num" val="0"/>
        <cfvo type="num" val="76"/>
      </iconSet>
    </cfRule>
  </conditionalFormatting>
  <conditionalFormatting sqref="O33">
    <cfRule type="iconSet" priority="18">
      <iconSet iconSet="4TrafficLights">
        <cfvo type="percent" val="0"/>
        <cfvo type="num" val="25" gte="0"/>
        <cfvo type="num" val="50" gte="0"/>
        <cfvo type="num" val="75" gte="0"/>
      </iconSet>
    </cfRule>
    <cfRule type="iconSet" priority="19">
      <iconSet iconSet="4TrafficLights">
        <cfvo type="percent" val="0"/>
        <cfvo type="num" val="0"/>
        <cfvo type="num" val="0"/>
        <cfvo type="num" val="76"/>
      </iconSet>
    </cfRule>
  </conditionalFormatting>
  <conditionalFormatting sqref="O36">
    <cfRule type="iconSet" priority="16">
      <iconSet iconSet="4TrafficLights">
        <cfvo type="percent" val="0"/>
        <cfvo type="num" val="25" gte="0"/>
        <cfvo type="num" val="50" gte="0"/>
        <cfvo type="num" val="75" gte="0"/>
      </iconSet>
    </cfRule>
    <cfRule type="iconSet" priority="17">
      <iconSet iconSet="4TrafficLights">
        <cfvo type="percent" val="0"/>
        <cfvo type="num" val="0"/>
        <cfvo type="num" val="0"/>
        <cfvo type="num" val="76"/>
      </iconSet>
    </cfRule>
  </conditionalFormatting>
  <conditionalFormatting sqref="S19 S21 S23:S25 S27:S28 S30 S32 S34:S35 S37">
    <cfRule type="iconSet" priority="15">
      <iconSet>
        <cfvo type="percent" val="0"/>
        <cfvo type="num" val="50"/>
        <cfvo type="num" val="75"/>
      </iconSet>
    </cfRule>
  </conditionalFormatting>
  <conditionalFormatting sqref="O5">
    <cfRule type="iconSet" priority="7">
      <iconSet>
        <cfvo type="percent" val="0"/>
        <cfvo type="percent" val="25"/>
        <cfvo type="percent" val="75"/>
      </iconSet>
    </cfRule>
  </conditionalFormatting>
  <conditionalFormatting sqref="P5">
    <cfRule type="iconSet" priority="6">
      <iconSet>
        <cfvo type="percent" val="0"/>
        <cfvo type="percent" val="25"/>
        <cfvo type="percent" val="75"/>
      </iconSet>
    </cfRule>
  </conditionalFormatting>
  <conditionalFormatting sqref="Q5">
    <cfRule type="iconSet" priority="3">
      <iconSet>
        <cfvo type="percent" val="0"/>
        <cfvo type="percent" val="25"/>
        <cfvo type="percent" val="75"/>
      </iconSet>
    </cfRule>
    <cfRule type="iconSet" priority="4">
      <iconSet>
        <cfvo type="percent" val="0"/>
        <cfvo type="percent" val="33"/>
        <cfvo type="percent" val="67"/>
      </iconSet>
    </cfRule>
    <cfRule type="iconSet" priority="5">
      <iconSet>
        <cfvo type="percent" val="0"/>
        <cfvo type="percent" val="25"/>
        <cfvo type="percent" val="75"/>
      </iconSet>
    </cfRule>
  </conditionalFormatting>
  <conditionalFormatting sqref="O5:Q5">
    <cfRule type="iconSet" priority="1">
      <iconSet>
        <cfvo type="percent" val="0"/>
        <cfvo type="num" val="0.26"/>
        <cfvo type="num" val="0.75"/>
      </iconSet>
    </cfRule>
    <cfRule type="iconSet" priority="2">
      <iconSet>
        <cfvo type="percent" val="0"/>
        <cfvo type="percent" val="33"/>
        <cfvo type="percent" val="67"/>
      </iconSet>
    </cfRule>
  </conditionalFormatting>
  <pageMargins left="0.7" right="0.7" top="0.75" bottom="0.75" header="0.3" footer="0.3"/>
  <drawing r:id="rId1"/>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EB94FF37-10E5-4597-9520-FD2E4B45BC7D}">
          <x14:formula1>
            <xm:f>'info weging'!$H$175:$H$181</xm:f>
          </x14:formula1>
          <xm:sqref>T4:T5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F15B8-8A4E-40F2-8A41-9D62DB2F7BC8}">
  <sheetPr>
    <tabColor rgb="FF9E0000"/>
  </sheetPr>
  <dimension ref="B1:BC42"/>
  <sheetViews>
    <sheetView showGridLines="0" showRowColHeaders="0" zoomScale="55" zoomScaleNormal="55" workbookViewId="0">
      <selection activeCell="B1" sqref="B1:S41"/>
    </sheetView>
  </sheetViews>
  <sheetFormatPr defaultRowHeight="14.4" x14ac:dyDescent="0.3"/>
  <cols>
    <col min="3" max="3" width="8.88671875" style="107"/>
    <col min="4" max="4" width="45.5546875" customWidth="1"/>
    <col min="7" max="7" width="12.6640625" customWidth="1"/>
    <col min="14" max="14" width="11.109375" customWidth="1"/>
    <col min="15" max="15" width="8.88671875" style="109"/>
    <col min="18" max="18" width="0" hidden="1" customWidth="1"/>
    <col min="19" max="19" width="9.6640625" customWidth="1"/>
    <col min="20" max="33" width="0" hidden="1" customWidth="1"/>
  </cols>
  <sheetData>
    <row r="1" spans="2:55" ht="53.4" customHeight="1" x14ac:dyDescent="0.65">
      <c r="B1" s="119"/>
      <c r="C1" s="81"/>
      <c r="D1" s="81"/>
      <c r="E1" s="654"/>
      <c r="F1" s="654"/>
      <c r="G1" s="654"/>
      <c r="H1" s="655"/>
      <c r="I1" s="656"/>
      <c r="J1" s="656"/>
      <c r="K1" s="656"/>
      <c r="L1" s="656"/>
      <c r="M1" s="656"/>
      <c r="N1" s="656"/>
      <c r="O1" s="656"/>
      <c r="P1" s="656"/>
      <c r="Q1" s="657"/>
      <c r="R1" s="81"/>
      <c r="S1" s="121"/>
    </row>
    <row r="2" spans="2:55" ht="15" thickBot="1" x14ac:dyDescent="0.35">
      <c r="B2" s="30"/>
      <c r="C2" s="20"/>
      <c r="D2" s="20"/>
      <c r="E2" s="20"/>
      <c r="F2" s="20"/>
      <c r="G2" s="20"/>
      <c r="H2" s="20"/>
      <c r="I2" s="20"/>
      <c r="J2" s="20"/>
      <c r="K2" s="20"/>
      <c r="L2" s="20"/>
      <c r="M2" s="20"/>
      <c r="N2" s="20"/>
      <c r="O2" s="20"/>
      <c r="P2" s="20"/>
      <c r="Q2" s="20"/>
      <c r="R2" s="20"/>
      <c r="S2" s="123"/>
    </row>
    <row r="3" spans="2:55" ht="21" customHeight="1" thickBot="1" x14ac:dyDescent="0.5">
      <c r="B3" s="30"/>
      <c r="C3" s="641" t="str">
        <f>'B1'!$N$2</f>
        <v>De Circulaire Peiler</v>
      </c>
      <c r="D3" s="588"/>
      <c r="E3" s="588"/>
      <c r="F3" s="588"/>
      <c r="G3" s="588"/>
      <c r="H3" s="588"/>
      <c r="I3" s="588"/>
      <c r="J3" s="588"/>
      <c r="K3" s="588"/>
      <c r="L3" s="588"/>
      <c r="M3" s="588"/>
      <c r="N3" s="215" t="s">
        <v>127</v>
      </c>
      <c r="O3" s="215" t="s">
        <v>128</v>
      </c>
      <c r="P3" s="213"/>
      <c r="Q3" s="214"/>
      <c r="R3" s="196">
        <v>0</v>
      </c>
      <c r="S3" s="123"/>
    </row>
    <row r="4" spans="2:55" ht="21.6" customHeight="1" x14ac:dyDescent="0.35">
      <c r="B4" s="30"/>
      <c r="C4" s="642" t="str">
        <f>'B1'!$N$3</f>
        <v>Peilstok die circulariteit in projecten meetbaar maakt</v>
      </c>
      <c r="D4" s="589"/>
      <c r="E4" s="589"/>
      <c r="F4" s="589"/>
      <c r="G4" s="589"/>
      <c r="H4" s="589"/>
      <c r="I4" s="589"/>
      <c r="J4" s="589"/>
      <c r="K4" s="589"/>
      <c r="L4" s="589"/>
      <c r="M4" s="589"/>
      <c r="N4" s="711" t="s">
        <v>381</v>
      </c>
      <c r="O4" s="396" t="s">
        <v>130</v>
      </c>
      <c r="P4" s="397" t="s">
        <v>351</v>
      </c>
      <c r="Q4" s="398" t="s">
        <v>131</v>
      </c>
      <c r="R4" s="196">
        <v>100</v>
      </c>
      <c r="S4" s="123"/>
      <c r="T4" s="47"/>
    </row>
    <row r="5" spans="2:55" ht="21.6" customHeight="1" thickBot="1" x14ac:dyDescent="0.4">
      <c r="B5" s="30"/>
      <c r="C5" s="590" t="s">
        <v>132</v>
      </c>
      <c r="D5" s="591" t="str">
        <f>'B1'!AP2&amp; " d.d. "&amp;'B1'!AP3</f>
        <v xml:space="preserve"> d.d. </v>
      </c>
      <c r="E5" s="591"/>
      <c r="F5" s="591"/>
      <c r="G5" s="591"/>
      <c r="H5" s="591"/>
      <c r="I5" s="591"/>
      <c r="J5" s="591"/>
      <c r="K5" s="591"/>
      <c r="L5" s="591"/>
      <c r="M5" s="591"/>
      <c r="N5" s="231" t="e">
        <f>Q40</f>
        <v>#VALUE!</v>
      </c>
      <c r="O5" s="271" t="str">
        <f>IF('B1'!AP68=0,"?",'B1'!AP67)</f>
        <v>?</v>
      </c>
      <c r="P5" s="272" t="str">
        <f>IF('B1'!AP72=0,"?",'B1'!AP71)</f>
        <v>?</v>
      </c>
      <c r="Q5" s="273" t="str">
        <f>IF('B1'!AP76=0,"?",'B1'!AP75)</f>
        <v>?</v>
      </c>
      <c r="R5" s="196"/>
      <c r="S5" s="123"/>
      <c r="T5" s="47"/>
    </row>
    <row r="6" spans="2:55" ht="21" x14ac:dyDescent="0.4">
      <c r="B6" s="30"/>
      <c r="C6" s="478"/>
      <c r="D6" s="20"/>
      <c r="E6" s="20"/>
      <c r="F6" s="20"/>
      <c r="G6" s="20"/>
      <c r="H6" s="20"/>
      <c r="I6" s="20"/>
      <c r="J6" s="20"/>
      <c r="K6" s="20"/>
      <c r="L6" s="20"/>
      <c r="M6" s="20"/>
      <c r="N6" s="20"/>
      <c r="O6" s="166" t="s">
        <v>133</v>
      </c>
      <c r="P6" s="20"/>
      <c r="Q6" s="20"/>
      <c r="R6" s="20"/>
      <c r="S6" s="123"/>
    </row>
    <row r="7" spans="2:55" x14ac:dyDescent="0.3">
      <c r="B7" s="30"/>
      <c r="C7" s="119"/>
      <c r="D7" s="81"/>
      <c r="E7" s="81"/>
      <c r="F7" s="81"/>
      <c r="G7" s="81"/>
      <c r="H7" s="81"/>
      <c r="I7" s="81"/>
      <c r="J7" s="81"/>
      <c r="K7" s="81"/>
      <c r="L7" s="81"/>
      <c r="M7" s="121"/>
      <c r="N7" s="119" t="s">
        <v>29</v>
      </c>
      <c r="O7" s="120"/>
      <c r="P7" s="81"/>
      <c r="Q7" s="121"/>
      <c r="R7" s="20"/>
      <c r="S7" s="123"/>
    </row>
    <row r="8" spans="2:55" x14ac:dyDescent="0.3">
      <c r="B8" s="30"/>
      <c r="C8" s="152" t="s">
        <v>21</v>
      </c>
      <c r="D8" s="20"/>
      <c r="E8" s="20"/>
      <c r="F8" s="20"/>
      <c r="G8" s="749" t="str">
        <f>'B1'!N4</f>
        <v>Projectnaam</v>
      </c>
      <c r="H8" s="154"/>
      <c r="I8" s="154"/>
      <c r="J8" s="154"/>
      <c r="K8" s="20"/>
      <c r="L8" s="20"/>
      <c r="M8" s="123"/>
      <c r="N8" s="122">
        <v>1</v>
      </c>
      <c r="O8" s="20" t="s">
        <v>50</v>
      </c>
      <c r="P8" s="20"/>
      <c r="Q8" s="123"/>
      <c r="R8" s="20"/>
      <c r="S8" s="123"/>
    </row>
    <row r="9" spans="2:55" x14ac:dyDescent="0.3">
      <c r="B9" s="30"/>
      <c r="C9" s="152" t="s">
        <v>324</v>
      </c>
      <c r="D9" s="20"/>
      <c r="E9" s="20"/>
      <c r="F9" s="20"/>
      <c r="G9" s="749" t="str">
        <f>'B1'!N6</f>
        <v>Plaatsnaam</v>
      </c>
      <c r="H9" s="154"/>
      <c r="I9" s="154"/>
      <c r="J9" s="154"/>
      <c r="K9" s="20"/>
      <c r="L9" s="20"/>
      <c r="M9" s="123"/>
      <c r="N9" s="122">
        <v>2</v>
      </c>
      <c r="O9" s="20" t="s">
        <v>22</v>
      </c>
      <c r="P9" s="20"/>
      <c r="Q9" s="123"/>
      <c r="R9" s="20"/>
      <c r="S9" s="123"/>
    </row>
    <row r="10" spans="2:55" x14ac:dyDescent="0.3">
      <c r="B10" s="30"/>
      <c r="C10" s="152" t="s">
        <v>325</v>
      </c>
      <c r="D10" s="20"/>
      <c r="E10" s="20"/>
      <c r="F10" s="20"/>
      <c r="G10" s="749" t="str">
        <f>'B1'!N7</f>
        <v>B1</v>
      </c>
      <c r="H10" s="154"/>
      <c r="I10" s="154"/>
      <c r="J10" s="154"/>
      <c r="K10" s="20"/>
      <c r="L10" s="20"/>
      <c r="M10" s="123"/>
      <c r="N10" s="122">
        <v>3</v>
      </c>
      <c r="O10" s="20" t="s">
        <v>134</v>
      </c>
      <c r="P10" s="20"/>
      <c r="Q10" s="123"/>
      <c r="R10" s="20"/>
      <c r="S10" s="123"/>
    </row>
    <row r="11" spans="2:55" x14ac:dyDescent="0.3">
      <c r="B11" s="30"/>
      <c r="C11" s="152" t="s">
        <v>135</v>
      </c>
      <c r="D11" s="20"/>
      <c r="E11" s="20"/>
      <c r="F11" s="20"/>
      <c r="G11" s="293">
        <f>IF(H11="initiatieffase",1)+IF(H11="verkenningsfase",2)+IF(H11="beheer/onderhoudsfase",6)+IF(H11="contractvormingsfase",4)+IF(H11="realisatiefase",5)+IF(H11="&lt;eigen weegfactoren&gt;",7)+IF(H11="planuitwerkingsfase",3)</f>
        <v>2</v>
      </c>
      <c r="H11" s="154" t="str">
        <f>'B1'!N8</f>
        <v>verkenningsfase</v>
      </c>
      <c r="I11" s="154"/>
      <c r="J11" s="154"/>
      <c r="K11" s="169"/>
      <c r="L11" s="167"/>
      <c r="M11" s="168"/>
      <c r="N11" s="122">
        <v>4</v>
      </c>
      <c r="O11" s="20" t="s">
        <v>136</v>
      </c>
      <c r="P11" s="20"/>
      <c r="Q11" s="123"/>
      <c r="R11" s="20"/>
      <c r="S11" s="123"/>
      <c r="T11" s="1"/>
      <c r="U11" s="1"/>
      <c r="V11" s="1"/>
      <c r="W11" s="1"/>
      <c r="X11" s="1"/>
      <c r="Y11" s="1"/>
      <c r="Z11" s="1"/>
      <c r="AA11" s="1"/>
      <c r="AB11" s="1"/>
      <c r="AC11" s="1"/>
      <c r="AD11" s="1"/>
      <c r="AE11" s="1"/>
      <c r="AF11" s="1"/>
      <c r="AG11" s="1"/>
      <c r="AH11" s="1"/>
      <c r="AI11" s="1"/>
      <c r="AJ11" s="1"/>
      <c r="AK11" s="1"/>
      <c r="AL11" s="1"/>
    </row>
    <row r="12" spans="2:55" x14ac:dyDescent="0.3">
      <c r="B12" s="30"/>
      <c r="C12" s="152"/>
      <c r="D12" s="20"/>
      <c r="E12" s="20"/>
      <c r="F12" s="20"/>
      <c r="G12" s="750"/>
      <c r="H12" s="20"/>
      <c r="I12" s="20"/>
      <c r="J12" s="20"/>
      <c r="K12" s="20"/>
      <c r="L12" s="20"/>
      <c r="M12" s="123"/>
      <c r="N12" s="122">
        <v>5</v>
      </c>
      <c r="O12" s="20" t="s">
        <v>137</v>
      </c>
      <c r="P12" s="20"/>
      <c r="Q12" s="123"/>
      <c r="R12" s="20"/>
      <c r="S12" s="123"/>
      <c r="T12" s="1"/>
      <c r="U12" s="1"/>
      <c r="V12" s="1"/>
      <c r="W12" s="1"/>
      <c r="X12" s="1"/>
      <c r="Y12" s="1"/>
      <c r="Z12" s="1"/>
      <c r="AA12" s="1"/>
      <c r="AB12" s="1"/>
      <c r="AC12" s="1"/>
      <c r="AD12" s="1"/>
      <c r="AE12" s="1"/>
      <c r="AF12" s="1"/>
      <c r="AG12" s="1"/>
      <c r="AH12" s="1"/>
      <c r="AI12" s="1"/>
      <c r="AJ12" s="1"/>
      <c r="AK12" s="1"/>
      <c r="AL12" s="1"/>
    </row>
    <row r="13" spans="2:55" x14ac:dyDescent="0.3">
      <c r="B13" s="30"/>
      <c r="C13" s="152" t="s">
        <v>23</v>
      </c>
      <c r="D13" s="20"/>
      <c r="E13" s="20"/>
      <c r="F13" s="20"/>
      <c r="G13" s="749" t="str">
        <f>'B1'!N10</f>
        <v>B2</v>
      </c>
      <c r="H13" s="154"/>
      <c r="I13" s="154"/>
      <c r="J13" s="154"/>
      <c r="K13" s="20"/>
      <c r="L13" s="20"/>
      <c r="M13" s="123"/>
      <c r="N13" s="122">
        <v>6</v>
      </c>
      <c r="O13" s="20" t="s">
        <v>138</v>
      </c>
      <c r="P13" s="20"/>
      <c r="Q13" s="123"/>
      <c r="R13" s="20"/>
      <c r="S13" s="123"/>
      <c r="T13" s="1"/>
      <c r="U13" s="1"/>
      <c r="V13" s="1"/>
      <c r="W13" s="1"/>
      <c r="X13" s="1"/>
      <c r="Y13" s="1"/>
      <c r="Z13" s="1"/>
      <c r="AA13" s="1"/>
      <c r="AB13" s="1"/>
      <c r="AC13" s="1"/>
      <c r="AD13" s="1"/>
      <c r="AE13" s="1"/>
      <c r="AF13" s="1"/>
      <c r="AG13" s="1"/>
      <c r="AH13" s="1"/>
      <c r="AI13" s="1"/>
      <c r="AJ13" s="1"/>
      <c r="AK13" s="1"/>
      <c r="AL13" s="1"/>
    </row>
    <row r="14" spans="2:55" x14ac:dyDescent="0.3">
      <c r="B14" s="30"/>
      <c r="C14" s="153" t="s">
        <v>24</v>
      </c>
      <c r="D14" s="38"/>
      <c r="E14" s="38"/>
      <c r="F14" s="38"/>
      <c r="G14" s="751" t="str">
        <f>'B1'!N11</f>
        <v>B3</v>
      </c>
      <c r="H14" s="170"/>
      <c r="I14" s="170"/>
      <c r="J14" s="170"/>
      <c r="K14" s="38" t="str">
        <f>IF(G18=7,O14,"")</f>
        <v/>
      </c>
      <c r="L14" s="38"/>
      <c r="M14" s="125"/>
      <c r="N14" s="124">
        <v>7</v>
      </c>
      <c r="O14" s="38" t="s">
        <v>139</v>
      </c>
      <c r="P14" s="38"/>
      <c r="Q14" s="125"/>
      <c r="R14" s="20"/>
      <c r="S14" s="123"/>
      <c r="T14" s="1"/>
      <c r="U14" s="1"/>
      <c r="V14" s="1"/>
      <c r="W14" s="1"/>
      <c r="X14" s="1"/>
      <c r="Y14" s="1"/>
      <c r="Z14" s="1"/>
      <c r="AA14" s="1"/>
      <c r="AB14" s="1"/>
      <c r="AC14" s="1"/>
      <c r="AD14" s="1"/>
      <c r="AE14" s="1"/>
      <c r="AF14" s="1"/>
      <c r="AG14" s="1"/>
      <c r="AH14" s="1"/>
      <c r="AI14" s="1"/>
      <c r="AJ14" s="1"/>
      <c r="AK14" s="1"/>
      <c r="AL14" s="1"/>
    </row>
    <row r="15" spans="2:55" ht="384" customHeight="1" x14ac:dyDescent="0.3">
      <c r="B15" s="30"/>
      <c r="C15" s="166"/>
      <c r="D15" s="479" t="s">
        <v>322</v>
      </c>
      <c r="E15" s="20"/>
      <c r="F15" s="20"/>
      <c r="G15" s="20"/>
      <c r="H15" s="20"/>
      <c r="I15" s="20"/>
      <c r="J15" s="20"/>
      <c r="K15" s="20"/>
      <c r="L15" s="20"/>
      <c r="M15" s="20"/>
      <c r="N15" s="126"/>
      <c r="O15" s="20"/>
      <c r="P15" s="20"/>
      <c r="Q15" s="20"/>
      <c r="R15" s="20"/>
      <c r="S15" s="123"/>
      <c r="T15" s="1"/>
      <c r="U15" s="1"/>
      <c r="V15" s="1"/>
      <c r="W15" s="1"/>
      <c r="X15" s="1"/>
      <c r="Y15" s="1"/>
      <c r="Z15" s="1"/>
      <c r="AA15" s="1"/>
      <c r="AB15" s="1"/>
      <c r="AC15" s="1"/>
      <c r="AD15" s="1"/>
      <c r="AE15" s="1"/>
      <c r="AF15" s="1"/>
      <c r="AG15" s="1"/>
      <c r="AH15" s="1"/>
      <c r="AI15" s="1"/>
      <c r="AJ15" s="1"/>
      <c r="AK15" s="1"/>
      <c r="AL15" s="1"/>
    </row>
    <row r="16" spans="2:55" ht="12" customHeight="1" x14ac:dyDescent="0.3">
      <c r="B16" s="30"/>
      <c r="C16" s="224"/>
      <c r="D16" s="225"/>
      <c r="E16" s="81"/>
      <c r="F16" s="81"/>
      <c r="G16" s="81"/>
      <c r="H16" s="81"/>
      <c r="I16" s="81"/>
      <c r="J16" s="81"/>
      <c r="K16" s="81"/>
      <c r="L16" s="81"/>
      <c r="M16" s="81"/>
      <c r="N16" s="120"/>
      <c r="O16" s="81"/>
      <c r="P16" s="119"/>
      <c r="Q16" s="229" t="s">
        <v>129</v>
      </c>
      <c r="R16" s="20"/>
      <c r="S16" s="123"/>
      <c r="AI16" s="18"/>
      <c r="AJ16" s="18"/>
      <c r="AK16" s="18"/>
      <c r="AL16" s="18"/>
      <c r="AM16" s="18"/>
      <c r="AN16" s="18"/>
      <c r="AO16" s="18"/>
      <c r="AP16" s="18"/>
      <c r="AQ16" s="18"/>
      <c r="AR16" s="18"/>
      <c r="AS16" s="18"/>
      <c r="AT16" s="18"/>
      <c r="AU16" s="18"/>
      <c r="AV16" s="18"/>
      <c r="AW16" s="18"/>
      <c r="AX16" s="18"/>
      <c r="AY16" s="18"/>
      <c r="AZ16" s="18"/>
      <c r="BA16" s="18"/>
      <c r="BB16" s="18"/>
      <c r="BC16" s="18"/>
    </row>
    <row r="17" spans="2:55" ht="15.6" x14ac:dyDescent="0.3">
      <c r="B17" s="30"/>
      <c r="C17" s="226" t="str">
        <f>"Overzicht acties en maatregelen. Hoe invulling wordt gegeven aan de 8 ontwerpprincipes uit het MIRT. Alternatief: "&amp;'info vergelijk'!E47</f>
        <v>Overzicht acties en maatregelen. Hoe invulling wordt gegeven aan de 8 ontwerpprincipes uit het MIRT. Alternatief: A1 NIET VOLLEDIG</v>
      </c>
      <c r="D17" s="227"/>
      <c r="E17" s="227"/>
      <c r="F17" s="227"/>
      <c r="G17" s="227"/>
      <c r="H17" s="227"/>
      <c r="I17" s="227"/>
      <c r="J17" s="227"/>
      <c r="K17" s="227"/>
      <c r="L17" s="227"/>
      <c r="M17" s="227"/>
      <c r="N17" s="227"/>
      <c r="O17" s="228"/>
      <c r="P17" s="230" t="s">
        <v>47</v>
      </c>
      <c r="Q17" s="395" t="s">
        <v>140</v>
      </c>
      <c r="R17" s="20"/>
      <c r="S17" s="123" t="s">
        <v>141</v>
      </c>
      <c r="T17" s="477" t="s">
        <v>142</v>
      </c>
      <c r="U17" s="221"/>
      <c r="V17" s="222"/>
      <c r="W17" s="222"/>
      <c r="X17" s="222"/>
      <c r="Y17" s="222"/>
      <c r="Z17" s="222"/>
      <c r="AA17" s="222"/>
      <c r="AB17" s="222"/>
      <c r="AC17" s="222"/>
      <c r="AD17" s="222"/>
      <c r="AE17" s="223"/>
      <c r="AI17" s="356" t="s">
        <v>369</v>
      </c>
      <c r="AJ17" s="18"/>
      <c r="AK17" s="18"/>
      <c r="AL17" s="18"/>
      <c r="AM17" s="18"/>
      <c r="AN17" s="18"/>
      <c r="AO17" s="18"/>
      <c r="AP17" s="18"/>
      <c r="AQ17" s="18"/>
      <c r="AR17" s="18"/>
      <c r="AS17" s="18"/>
      <c r="AT17" s="18"/>
      <c r="AU17" s="18"/>
      <c r="AV17" s="18"/>
      <c r="AW17" s="18"/>
      <c r="AX17" s="18"/>
      <c r="AY17" s="18"/>
      <c r="AZ17" s="18"/>
      <c r="BA17" s="18"/>
      <c r="BB17" s="18"/>
      <c r="BC17" s="18"/>
    </row>
    <row r="18" spans="2:55" ht="15.6" x14ac:dyDescent="0.3">
      <c r="B18" s="30"/>
      <c r="C18" s="129">
        <f>'B1'!K23</f>
        <v>1</v>
      </c>
      <c r="D18" s="136" t="str">
        <f>'B1'!L23</f>
        <v>Voorkómen: niet doen wat echt niet hoeft</v>
      </c>
      <c r="E18" s="136"/>
      <c r="F18" s="136"/>
      <c r="G18" s="137"/>
      <c r="H18" s="137"/>
      <c r="I18" s="137"/>
      <c r="J18" s="137"/>
      <c r="K18" s="137"/>
      <c r="L18" s="137"/>
      <c r="M18" s="137"/>
      <c r="N18" s="137"/>
      <c r="O18" s="245"/>
      <c r="P18" s="246">
        <f>'B1'!W23</f>
        <v>0.27</v>
      </c>
      <c r="Q18" s="158" t="e">
        <f>P18*P19*S19</f>
        <v>#VALUE!</v>
      </c>
      <c r="R18" s="20"/>
      <c r="S18" s="123"/>
      <c r="T18" s="216"/>
      <c r="U18" s="216"/>
      <c r="V18" s="19"/>
      <c r="W18" s="19"/>
      <c r="X18" s="19"/>
      <c r="Y18" s="19"/>
      <c r="Z18" s="19"/>
      <c r="AA18" s="19"/>
      <c r="AB18" s="19"/>
      <c r="AC18" s="19"/>
      <c r="AD18" s="19"/>
      <c r="AE18" s="217"/>
      <c r="AI18" s="18"/>
      <c r="AJ18" s="18"/>
      <c r="AK18" s="18"/>
      <c r="AL18" s="18"/>
      <c r="AM18" s="18"/>
      <c r="AN18" s="18"/>
      <c r="AO18" s="18"/>
      <c r="AP18" s="18"/>
      <c r="AQ18" s="18"/>
      <c r="AR18" s="18"/>
      <c r="AS18" s="18"/>
      <c r="AT18" s="18"/>
      <c r="AU18" s="18"/>
      <c r="AV18" s="18"/>
      <c r="AW18" s="18"/>
      <c r="AX18" s="18"/>
      <c r="AY18" s="18"/>
      <c r="AZ18" s="18"/>
      <c r="BA18" s="18"/>
      <c r="BB18" s="18"/>
      <c r="BC18" s="18"/>
    </row>
    <row r="19" spans="2:55" ht="15.6" x14ac:dyDescent="0.3">
      <c r="B19" s="30"/>
      <c r="C19" s="380" t="str">
        <f>'B1'!K24</f>
        <v>a</v>
      </c>
      <c r="D19" s="381">
        <f>'B1'!N24</f>
        <v>0</v>
      </c>
      <c r="E19" s="154"/>
      <c r="F19" s="154"/>
      <c r="G19" s="154"/>
      <c r="H19" s="154"/>
      <c r="I19" s="154"/>
      <c r="J19" s="154"/>
      <c r="K19" s="154"/>
      <c r="L19" s="154"/>
      <c r="M19" s="154"/>
      <c r="N19" s="154"/>
      <c r="O19" s="480"/>
      <c r="P19" s="247">
        <f>'B1'!W24</f>
        <v>1</v>
      </c>
      <c r="Q19" s="191"/>
      <c r="R19" s="20"/>
      <c r="S19" s="481" t="str">
        <f>'B1'!AL24</f>
        <v>----</v>
      </c>
      <c r="T19" s="216"/>
      <c r="U19" s="216"/>
      <c r="V19" s="19"/>
      <c r="W19" s="19"/>
      <c r="X19" s="19"/>
      <c r="Y19" s="19"/>
      <c r="Z19" s="19"/>
      <c r="AA19" s="19"/>
      <c r="AB19" s="19"/>
      <c r="AC19" s="19"/>
      <c r="AD19" s="19"/>
      <c r="AE19" s="217"/>
      <c r="AI19" s="18" t="str">
        <f>IF(S19&gt;50,"","Verdiepend onderzoek naar "&amp;'B1'!L24)</f>
        <v/>
      </c>
      <c r="AJ19" s="18"/>
      <c r="AK19" s="18"/>
      <c r="AL19" s="18"/>
      <c r="AM19" s="18"/>
      <c r="AN19" s="18"/>
      <c r="AO19" s="18"/>
      <c r="AP19" s="18"/>
      <c r="AQ19" s="18"/>
      <c r="AR19" s="18"/>
      <c r="AS19" s="18"/>
      <c r="AT19" s="18"/>
      <c r="AU19" s="18"/>
      <c r="AV19" s="18"/>
      <c r="AW19" s="18"/>
      <c r="AX19" s="18"/>
      <c r="AY19" s="18"/>
      <c r="AZ19" s="18"/>
      <c r="BA19" s="18"/>
      <c r="BB19" s="18"/>
      <c r="BC19" s="18"/>
    </row>
    <row r="20" spans="2:55" ht="15.6" x14ac:dyDescent="0.3">
      <c r="B20" s="30"/>
      <c r="C20" s="130">
        <f>'B1'!K25</f>
        <v>2</v>
      </c>
      <c r="D20" s="138" t="str">
        <f>'B1'!L25</f>
        <v>Verleng de levensduur van bestaande objecten of componenten</v>
      </c>
      <c r="E20" s="138"/>
      <c r="F20" s="138"/>
      <c r="G20" s="138"/>
      <c r="H20" s="138"/>
      <c r="I20" s="139"/>
      <c r="J20" s="139"/>
      <c r="K20" s="139"/>
      <c r="L20" s="139"/>
      <c r="M20" s="139"/>
      <c r="N20" s="139"/>
      <c r="O20" s="251"/>
      <c r="P20" s="246">
        <f>'B1'!W25</f>
        <v>7.0000000000000007E-2</v>
      </c>
      <c r="Q20" s="158" t="e">
        <f>S21*P21*P20</f>
        <v>#VALUE!</v>
      </c>
      <c r="R20" s="20"/>
      <c r="S20" s="482"/>
      <c r="T20" s="216"/>
      <c r="U20" s="216"/>
      <c r="V20" s="19"/>
      <c r="W20" s="19"/>
      <c r="X20" s="19"/>
      <c r="Y20" s="19"/>
      <c r="Z20" s="19"/>
      <c r="AA20" s="19"/>
      <c r="AB20" s="19"/>
      <c r="AC20" s="19"/>
      <c r="AD20" s="19"/>
      <c r="AE20" s="217"/>
      <c r="AI20" s="18"/>
      <c r="AJ20" s="18"/>
      <c r="AK20" s="18"/>
      <c r="AL20" s="18"/>
      <c r="AM20" s="18"/>
      <c r="AN20" s="18"/>
      <c r="AO20" s="18"/>
      <c r="AP20" s="18"/>
      <c r="AQ20" s="18"/>
      <c r="AR20" s="18"/>
      <c r="AS20" s="18"/>
      <c r="AT20" s="18"/>
      <c r="AU20" s="18"/>
      <c r="AV20" s="18"/>
      <c r="AW20" s="18"/>
      <c r="AX20" s="18"/>
      <c r="AY20" s="18"/>
      <c r="AZ20" s="18"/>
      <c r="BA20" s="18"/>
      <c r="BB20" s="18"/>
      <c r="BC20" s="18"/>
    </row>
    <row r="21" spans="2:55" ht="15.6" x14ac:dyDescent="0.3">
      <c r="B21" s="30"/>
      <c r="C21" s="380" t="str">
        <f>'B1'!K26</f>
        <v>a</v>
      </c>
      <c r="D21" s="382">
        <f>'B1'!N26</f>
        <v>0</v>
      </c>
      <c r="E21" s="383"/>
      <c r="F21" s="383"/>
      <c r="G21" s="383"/>
      <c r="H21" s="383"/>
      <c r="I21" s="383"/>
      <c r="J21" s="383"/>
      <c r="K21" s="383"/>
      <c r="L21" s="383"/>
      <c r="M21" s="383"/>
      <c r="N21" s="383"/>
      <c r="O21" s="483"/>
      <c r="P21" s="247">
        <f>'B1'!W26</f>
        <v>1</v>
      </c>
      <c r="Q21" s="191"/>
      <c r="R21" s="20"/>
      <c r="S21" s="481" t="str">
        <f>'B1'!AL26</f>
        <v>----</v>
      </c>
      <c r="T21" s="216"/>
      <c r="U21" s="216"/>
      <c r="V21" s="19"/>
      <c r="W21" s="19"/>
      <c r="X21" s="19"/>
      <c r="Y21" s="19"/>
      <c r="Z21" s="19"/>
      <c r="AA21" s="19"/>
      <c r="AB21" s="19"/>
      <c r="AC21" s="19"/>
      <c r="AD21" s="19"/>
      <c r="AE21" s="217"/>
      <c r="AI21" s="18" t="str">
        <f>IF(S21&gt;50,"","Verdiepend onderzoek naar "&amp;'B1'!L26)</f>
        <v/>
      </c>
      <c r="AJ21" s="18"/>
      <c r="AK21" s="18"/>
      <c r="AL21" s="18"/>
      <c r="AM21" s="18"/>
      <c r="AN21" s="18"/>
      <c r="AO21" s="18"/>
      <c r="AP21" s="18"/>
      <c r="AQ21" s="18"/>
      <c r="AR21" s="18"/>
      <c r="AS21" s="18"/>
      <c r="AT21" s="18"/>
      <c r="AU21" s="18"/>
      <c r="AV21" s="18"/>
      <c r="AW21" s="18"/>
      <c r="AX21" s="18"/>
      <c r="AY21" s="18"/>
      <c r="AZ21" s="18"/>
      <c r="BA21" s="18"/>
      <c r="BB21" s="18"/>
      <c r="BC21" s="18"/>
    </row>
    <row r="22" spans="2:55" ht="15.6" x14ac:dyDescent="0.3">
      <c r="B22" s="30"/>
      <c r="C22" s="131">
        <f>'B1'!K27</f>
        <v>3</v>
      </c>
      <c r="D22" s="140" t="str">
        <f>'B1'!L27</f>
        <v>Duurzaam gebruik van bestaande objecten, materialen, grondstoffen en natuurlijke processen</v>
      </c>
      <c r="E22" s="140"/>
      <c r="F22" s="140"/>
      <c r="G22" s="140"/>
      <c r="H22" s="140"/>
      <c r="I22" s="140"/>
      <c r="J22" s="140"/>
      <c r="K22" s="140"/>
      <c r="L22" s="141"/>
      <c r="M22" s="141"/>
      <c r="N22" s="141"/>
      <c r="O22" s="252"/>
      <c r="P22" s="246">
        <f>'B1'!W27</f>
        <v>7.0000000000000007E-2</v>
      </c>
      <c r="Q22" s="158" t="e">
        <f>(S23*P23+S24*P24+S25*P25)*P22</f>
        <v>#VALUE!</v>
      </c>
      <c r="R22" s="20"/>
      <c r="S22" s="482"/>
      <c r="T22" s="216"/>
      <c r="U22" s="216"/>
      <c r="V22" s="19"/>
      <c r="W22" s="19"/>
      <c r="X22" s="19"/>
      <c r="Y22" s="19"/>
      <c r="Z22" s="19"/>
      <c r="AA22" s="19"/>
      <c r="AB22" s="19"/>
      <c r="AC22" s="19"/>
      <c r="AD22" s="19"/>
      <c r="AE22" s="217"/>
      <c r="AI22" s="18"/>
      <c r="AJ22" s="18"/>
      <c r="AK22" s="18"/>
      <c r="AL22" s="18"/>
      <c r="AM22" s="18"/>
      <c r="AN22" s="18"/>
      <c r="AO22" s="18"/>
      <c r="AP22" s="18"/>
      <c r="AQ22" s="18"/>
      <c r="AR22" s="18"/>
      <c r="AS22" s="18"/>
      <c r="AT22" s="18"/>
      <c r="AU22" s="18"/>
      <c r="AV22" s="18"/>
      <c r="AW22" s="18"/>
      <c r="AX22" s="18"/>
      <c r="AY22" s="18"/>
      <c r="AZ22" s="18"/>
      <c r="BA22" s="18"/>
      <c r="BB22" s="18"/>
      <c r="BC22" s="18"/>
    </row>
    <row r="23" spans="2:55" ht="15.6" x14ac:dyDescent="0.3">
      <c r="B23" s="30"/>
      <c r="C23" s="380" t="str">
        <f>'B1'!K28</f>
        <v>a</v>
      </c>
      <c r="D23" s="384">
        <f>'B1'!N28</f>
        <v>0</v>
      </c>
      <c r="E23" s="385"/>
      <c r="F23" s="385"/>
      <c r="G23" s="385"/>
      <c r="H23" s="385"/>
      <c r="I23" s="385"/>
      <c r="J23" s="385"/>
      <c r="K23" s="385"/>
      <c r="L23" s="385"/>
      <c r="M23" s="385"/>
      <c r="N23" s="385"/>
      <c r="O23" s="484"/>
      <c r="P23" s="247">
        <f>'B1'!W28</f>
        <v>0.4</v>
      </c>
      <c r="Q23" s="191"/>
      <c r="R23" s="20"/>
      <c r="S23" s="481" t="str">
        <f>'B1'!AL28</f>
        <v>----</v>
      </c>
      <c r="T23" s="216"/>
      <c r="U23" s="216"/>
      <c r="V23" s="19"/>
      <c r="W23" s="19"/>
      <c r="X23" s="19"/>
      <c r="Y23" s="19"/>
      <c r="Z23" s="19"/>
      <c r="AA23" s="19"/>
      <c r="AB23" s="19"/>
      <c r="AC23" s="19"/>
      <c r="AD23" s="19"/>
      <c r="AE23" s="217"/>
      <c r="AI23" s="18" t="str">
        <f>IF(S23&gt;50,"","Verdiepend onderzoek naar "&amp;'B1'!L28)</f>
        <v/>
      </c>
      <c r="AJ23" s="18"/>
      <c r="AK23" s="18"/>
      <c r="AL23" s="18"/>
      <c r="AM23" s="18"/>
      <c r="AN23" s="18"/>
      <c r="AO23" s="18"/>
      <c r="AP23" s="18"/>
      <c r="AQ23" s="18"/>
      <c r="AR23" s="18"/>
      <c r="AS23" s="18"/>
      <c r="AT23" s="18"/>
      <c r="AU23" s="18"/>
      <c r="AV23" s="18"/>
      <c r="AW23" s="18"/>
      <c r="AX23" s="18"/>
      <c r="AY23" s="18"/>
      <c r="AZ23" s="18"/>
      <c r="BA23" s="18"/>
      <c r="BB23" s="18"/>
      <c r="BC23" s="18"/>
    </row>
    <row r="24" spans="2:55" ht="15.6" x14ac:dyDescent="0.3">
      <c r="B24" s="30"/>
      <c r="C24" s="380" t="str">
        <f>'B1'!K29</f>
        <v>b</v>
      </c>
      <c r="D24" s="384">
        <f>'B1'!N29</f>
        <v>0</v>
      </c>
      <c r="E24" s="385"/>
      <c r="F24" s="385"/>
      <c r="G24" s="385"/>
      <c r="H24" s="385"/>
      <c r="I24" s="385"/>
      <c r="J24" s="385"/>
      <c r="K24" s="385"/>
      <c r="L24" s="385"/>
      <c r="M24" s="385"/>
      <c r="N24" s="385"/>
      <c r="O24" s="484"/>
      <c r="P24" s="247">
        <f>'B1'!W29</f>
        <v>0.4</v>
      </c>
      <c r="Q24" s="191"/>
      <c r="R24" s="20"/>
      <c r="S24" s="481" t="str">
        <f>'B1'!AL29</f>
        <v>----</v>
      </c>
      <c r="T24" s="216"/>
      <c r="U24" s="216"/>
      <c r="V24" s="19"/>
      <c r="W24" s="19"/>
      <c r="X24" s="19"/>
      <c r="Y24" s="19"/>
      <c r="Z24" s="19"/>
      <c r="AA24" s="19"/>
      <c r="AB24" s="19"/>
      <c r="AC24" s="19"/>
      <c r="AD24" s="19"/>
      <c r="AE24" s="217"/>
      <c r="AI24" s="18" t="str">
        <f>IF(S24&gt;50,"","Verdiepend onderzoek naar "&amp;'B1'!L29)</f>
        <v/>
      </c>
      <c r="AJ24" s="18"/>
      <c r="AK24" s="18"/>
      <c r="AL24" s="18"/>
      <c r="AM24" s="18"/>
      <c r="AN24" s="18"/>
      <c r="AO24" s="18"/>
      <c r="AP24" s="18"/>
      <c r="AQ24" s="18"/>
      <c r="AR24" s="18"/>
      <c r="AS24" s="18"/>
      <c r="AT24" s="18"/>
      <c r="AU24" s="18"/>
      <c r="AV24" s="18"/>
      <c r="AW24" s="18"/>
      <c r="AX24" s="18"/>
      <c r="AY24" s="18"/>
      <c r="AZ24" s="18"/>
      <c r="BA24" s="18"/>
      <c r="BB24" s="18"/>
      <c r="BC24" s="18"/>
    </row>
    <row r="25" spans="2:55" ht="15.6" x14ac:dyDescent="0.3">
      <c r="B25" s="30"/>
      <c r="C25" s="380" t="str">
        <f>'B1'!K30</f>
        <v>c</v>
      </c>
      <c r="D25" s="384">
        <f>'B1'!N30</f>
        <v>0</v>
      </c>
      <c r="E25" s="385"/>
      <c r="F25" s="385"/>
      <c r="G25" s="385"/>
      <c r="H25" s="385"/>
      <c r="I25" s="385"/>
      <c r="J25" s="385"/>
      <c r="K25" s="385"/>
      <c r="L25" s="385"/>
      <c r="M25" s="385"/>
      <c r="N25" s="385"/>
      <c r="O25" s="484"/>
      <c r="P25" s="247">
        <f>'B1'!W30</f>
        <v>0.2</v>
      </c>
      <c r="Q25" s="191"/>
      <c r="R25" s="20"/>
      <c r="S25" s="481" t="str">
        <f>'B1'!AL30</f>
        <v>----</v>
      </c>
      <c r="T25" s="216"/>
      <c r="U25" s="216"/>
      <c r="V25" s="19"/>
      <c r="W25" s="19"/>
      <c r="X25" s="19"/>
      <c r="Y25" s="19"/>
      <c r="Z25" s="19"/>
      <c r="AA25" s="19"/>
      <c r="AB25" s="19"/>
      <c r="AC25" s="19"/>
      <c r="AD25" s="19"/>
      <c r="AE25" s="217"/>
      <c r="AI25" s="18" t="str">
        <f>IF(S25&gt;50,"","Verdiepend onderzoek naar "&amp;'B1'!L30)</f>
        <v/>
      </c>
      <c r="AJ25" s="18"/>
      <c r="AK25" s="18"/>
      <c r="AL25" s="18"/>
      <c r="AM25" s="18"/>
      <c r="AN25" s="18"/>
      <c r="AO25" s="18"/>
      <c r="AP25" s="18"/>
      <c r="AQ25" s="18"/>
      <c r="AR25" s="18"/>
      <c r="AS25" s="18"/>
      <c r="AT25" s="18"/>
      <c r="AU25" s="18"/>
      <c r="AV25" s="18"/>
      <c r="AW25" s="18"/>
      <c r="AX25" s="18"/>
      <c r="AY25" s="18"/>
      <c r="AZ25" s="18"/>
      <c r="BA25" s="18"/>
      <c r="BB25" s="18"/>
      <c r="BC25" s="18"/>
    </row>
    <row r="26" spans="2:55" ht="15.6" x14ac:dyDescent="0.3">
      <c r="B26" s="30"/>
      <c r="C26" s="162">
        <f>'B1'!K31</f>
        <v>4</v>
      </c>
      <c r="D26" s="163" t="str">
        <f>'B1'!L31</f>
        <v>Ontwerp voor meerdere levenscycli</v>
      </c>
      <c r="E26" s="142"/>
      <c r="F26" s="142"/>
      <c r="G26" s="143"/>
      <c r="H26" s="143"/>
      <c r="I26" s="143"/>
      <c r="J26" s="143"/>
      <c r="K26" s="143"/>
      <c r="L26" s="143"/>
      <c r="M26" s="143"/>
      <c r="N26" s="143"/>
      <c r="O26" s="253"/>
      <c r="P26" s="246">
        <f>'B1'!W31</f>
        <v>7.0000000000000007E-2</v>
      </c>
      <c r="Q26" s="158" t="e">
        <f>(S27*P27+S28*P28)*P26</f>
        <v>#VALUE!</v>
      </c>
      <c r="R26" s="20"/>
      <c r="S26" s="482"/>
      <c r="T26" s="216"/>
      <c r="U26" s="216"/>
      <c r="V26" s="19"/>
      <c r="W26" s="19"/>
      <c r="X26" s="19"/>
      <c r="Y26" s="19"/>
      <c r="Z26" s="19"/>
      <c r="AA26" s="19"/>
      <c r="AB26" s="19"/>
      <c r="AC26" s="19"/>
      <c r="AD26" s="19"/>
      <c r="AE26" s="217"/>
      <c r="AI26" s="18"/>
      <c r="AJ26" s="18"/>
      <c r="AK26" s="18"/>
      <c r="AL26" s="18"/>
      <c r="AM26" s="18"/>
      <c r="AN26" s="18"/>
      <c r="AO26" s="18"/>
      <c r="AP26" s="18"/>
      <c r="AQ26" s="18"/>
      <c r="AR26" s="18"/>
      <c r="AS26" s="18"/>
      <c r="AT26" s="18"/>
      <c r="AU26" s="18"/>
      <c r="AV26" s="18"/>
      <c r="AW26" s="18"/>
      <c r="AX26" s="18"/>
      <c r="AY26" s="18"/>
      <c r="AZ26" s="18"/>
      <c r="BA26" s="18"/>
      <c r="BB26" s="18"/>
      <c r="BC26" s="18"/>
    </row>
    <row r="27" spans="2:55" ht="15.6" x14ac:dyDescent="0.3">
      <c r="B27" s="30"/>
      <c r="C27" s="380" t="str">
        <f>'B1'!K32</f>
        <v>a</v>
      </c>
      <c r="D27" s="386">
        <f>'B1'!N32</f>
        <v>0</v>
      </c>
      <c r="E27" s="387"/>
      <c r="F27" s="387"/>
      <c r="G27" s="387"/>
      <c r="H27" s="387"/>
      <c r="I27" s="387"/>
      <c r="J27" s="387"/>
      <c r="K27" s="387"/>
      <c r="L27" s="387"/>
      <c r="M27" s="387"/>
      <c r="N27" s="387"/>
      <c r="O27" s="485"/>
      <c r="P27" s="247">
        <f>'B1'!W32</f>
        <v>0.9</v>
      </c>
      <c r="Q27" s="191"/>
      <c r="R27" s="20"/>
      <c r="S27" s="481" t="str">
        <f>'B1'!AL32</f>
        <v>----</v>
      </c>
      <c r="T27" s="216"/>
      <c r="U27" s="216"/>
      <c r="V27" s="19"/>
      <c r="W27" s="19"/>
      <c r="X27" s="19"/>
      <c r="Y27" s="19"/>
      <c r="Z27" s="19"/>
      <c r="AA27" s="19"/>
      <c r="AB27" s="19"/>
      <c r="AC27" s="19"/>
      <c r="AD27" s="19"/>
      <c r="AE27" s="217"/>
      <c r="AI27" s="18" t="str">
        <f>IF(S27&gt;50,"","Verdiepend onderzoek naar "&amp;'B1'!L32)</f>
        <v/>
      </c>
      <c r="AJ27" s="18"/>
      <c r="AK27" s="18"/>
      <c r="AL27" s="18"/>
      <c r="AM27" s="18"/>
      <c r="AN27" s="18"/>
      <c r="AO27" s="18"/>
      <c r="AP27" s="18"/>
      <c r="AQ27" s="18"/>
      <c r="AR27" s="18"/>
      <c r="AS27" s="18"/>
      <c r="AT27" s="18"/>
      <c r="AU27" s="18"/>
      <c r="AV27" s="18"/>
      <c r="AW27" s="18"/>
      <c r="AX27" s="18"/>
      <c r="AY27" s="18"/>
      <c r="AZ27" s="18"/>
      <c r="BA27" s="18"/>
      <c r="BB27" s="18"/>
      <c r="BC27" s="18"/>
    </row>
    <row r="28" spans="2:55" ht="15.6" x14ac:dyDescent="0.3">
      <c r="B28" s="30"/>
      <c r="C28" s="380" t="str">
        <f>'B1'!K33</f>
        <v>b</v>
      </c>
      <c r="D28" s="386">
        <f>'B1'!N33</f>
        <v>0</v>
      </c>
      <c r="E28" s="387"/>
      <c r="F28" s="387"/>
      <c r="G28" s="387"/>
      <c r="H28" s="387"/>
      <c r="I28" s="387"/>
      <c r="J28" s="387"/>
      <c r="K28" s="387"/>
      <c r="L28" s="387"/>
      <c r="M28" s="387"/>
      <c r="N28" s="387"/>
      <c r="O28" s="485"/>
      <c r="P28" s="247">
        <f>'B1'!W33</f>
        <v>0.1</v>
      </c>
      <c r="Q28" s="191"/>
      <c r="R28" s="20"/>
      <c r="S28" s="481" t="str">
        <f>'B1'!AL33</f>
        <v>----</v>
      </c>
      <c r="T28" s="216"/>
      <c r="U28" s="216"/>
      <c r="V28" s="19"/>
      <c r="W28" s="19"/>
      <c r="X28" s="19"/>
      <c r="Y28" s="19"/>
      <c r="Z28" s="19"/>
      <c r="AA28" s="19"/>
      <c r="AB28" s="19"/>
      <c r="AC28" s="19"/>
      <c r="AD28" s="19"/>
      <c r="AE28" s="217"/>
      <c r="AI28" s="18" t="str">
        <f>IF(S28&gt;50,"","Verdiepend onderzoek naar "&amp;'B1'!L33)</f>
        <v/>
      </c>
      <c r="AJ28" s="18"/>
      <c r="AK28" s="18"/>
      <c r="AL28" s="18"/>
      <c r="AM28" s="18"/>
      <c r="AN28" s="18"/>
      <c r="AO28" s="18"/>
      <c r="AP28" s="18"/>
      <c r="AQ28" s="18"/>
      <c r="AR28" s="18"/>
      <c r="AS28" s="18"/>
      <c r="AT28" s="18"/>
      <c r="AU28" s="18"/>
      <c r="AV28" s="18"/>
      <c r="AW28" s="18"/>
      <c r="AX28" s="18"/>
      <c r="AY28" s="18"/>
      <c r="AZ28" s="18"/>
      <c r="BA28" s="18"/>
      <c r="BB28" s="18"/>
      <c r="BC28" s="18"/>
    </row>
    <row r="29" spans="2:55" ht="15.6" x14ac:dyDescent="0.3">
      <c r="B29" s="30"/>
      <c r="C29" s="132">
        <f>'B1'!K34</f>
        <v>5</v>
      </c>
      <c r="D29" s="144" t="str">
        <f>'B1'!L34</f>
        <v>Ontwerp toekomstbestendig</v>
      </c>
      <c r="E29" s="144"/>
      <c r="F29" s="145"/>
      <c r="G29" s="145"/>
      <c r="H29" s="145"/>
      <c r="I29" s="145"/>
      <c r="J29" s="145"/>
      <c r="K29" s="145"/>
      <c r="L29" s="145"/>
      <c r="M29" s="145"/>
      <c r="N29" s="145"/>
      <c r="O29" s="254"/>
      <c r="P29" s="246">
        <f>'B1'!W34</f>
        <v>0.1</v>
      </c>
      <c r="Q29" s="158" t="e">
        <f>P29*P30*S30</f>
        <v>#VALUE!</v>
      </c>
      <c r="R29" s="20"/>
      <c r="S29" s="482"/>
      <c r="T29" s="216"/>
      <c r="U29" s="216"/>
      <c r="V29" s="19"/>
      <c r="W29" s="19"/>
      <c r="X29" s="19"/>
      <c r="Y29" s="19"/>
      <c r="Z29" s="19"/>
      <c r="AA29" s="19"/>
      <c r="AB29" s="19"/>
      <c r="AC29" s="19"/>
      <c r="AD29" s="19"/>
      <c r="AE29" s="217"/>
      <c r="AI29" s="18"/>
      <c r="AJ29" s="18"/>
      <c r="AK29" s="18"/>
      <c r="AL29" s="18"/>
      <c r="AM29" s="18"/>
      <c r="AN29" s="18"/>
      <c r="AO29" s="18"/>
      <c r="AP29" s="18"/>
      <c r="AQ29" s="18"/>
      <c r="AR29" s="18"/>
      <c r="AS29" s="18"/>
      <c r="AT29" s="18"/>
      <c r="AU29" s="18"/>
      <c r="AV29" s="18"/>
      <c r="AW29" s="18"/>
      <c r="AX29" s="18"/>
      <c r="AY29" s="18"/>
      <c r="AZ29" s="18"/>
      <c r="BA29" s="18"/>
      <c r="BB29" s="18"/>
      <c r="BC29" s="18"/>
    </row>
    <row r="30" spans="2:55" ht="15.6" x14ac:dyDescent="0.3">
      <c r="B30" s="30"/>
      <c r="C30" s="380" t="str">
        <f>'B1'!K35</f>
        <v>a</v>
      </c>
      <c r="D30" s="388">
        <f>'B1'!N35</f>
        <v>0</v>
      </c>
      <c r="E30" s="19"/>
      <c r="F30" s="19"/>
      <c r="G30" s="19"/>
      <c r="H30" s="19"/>
      <c r="I30" s="19"/>
      <c r="J30" s="19"/>
      <c r="K30" s="19"/>
      <c r="L30" s="19"/>
      <c r="M30" s="19"/>
      <c r="N30" s="19"/>
      <c r="O30" s="486"/>
      <c r="P30" s="247">
        <f>'B1'!W35</f>
        <v>1</v>
      </c>
      <c r="Q30" s="191"/>
      <c r="R30" s="20"/>
      <c r="S30" s="481" t="str">
        <f>'B1'!AL35</f>
        <v>----</v>
      </c>
      <c r="T30" s="216"/>
      <c r="U30" s="216"/>
      <c r="V30" s="19"/>
      <c r="W30" s="19"/>
      <c r="X30" s="19"/>
      <c r="Y30" s="19"/>
      <c r="Z30" s="19"/>
      <c r="AA30" s="19"/>
      <c r="AB30" s="19"/>
      <c r="AC30" s="19"/>
      <c r="AD30" s="19"/>
      <c r="AE30" s="217"/>
      <c r="AI30" s="18" t="str">
        <f>IF(S30&gt;50,"","Verdiepend onderzoek naar "&amp;'B1'!L35)</f>
        <v/>
      </c>
      <c r="AJ30" s="18"/>
      <c r="AK30" s="18"/>
      <c r="AL30" s="18"/>
      <c r="AM30" s="18"/>
      <c r="AN30" s="18"/>
      <c r="AO30" s="18"/>
      <c r="AP30" s="18"/>
      <c r="AQ30" s="18"/>
      <c r="AR30" s="18"/>
      <c r="AS30" s="18"/>
      <c r="AT30" s="18"/>
      <c r="AU30" s="18"/>
      <c r="AV30" s="18"/>
      <c r="AW30" s="18"/>
      <c r="AX30" s="18"/>
      <c r="AY30" s="18"/>
      <c r="AZ30" s="18"/>
      <c r="BA30" s="18"/>
      <c r="BB30" s="18"/>
      <c r="BC30" s="18"/>
    </row>
    <row r="31" spans="2:55" ht="15.6" x14ac:dyDescent="0.3">
      <c r="B31" s="30"/>
      <c r="C31" s="133">
        <f>'B1'!K36</f>
        <v>6</v>
      </c>
      <c r="D31" s="146" t="str">
        <f>'B1'!L36</f>
        <v xml:space="preserve">Ontwerp voor optimaal beheer en onderhoud </v>
      </c>
      <c r="E31" s="146"/>
      <c r="F31" s="146"/>
      <c r="G31" s="146"/>
      <c r="H31" s="147"/>
      <c r="I31" s="147"/>
      <c r="J31" s="147"/>
      <c r="K31" s="147"/>
      <c r="L31" s="147"/>
      <c r="M31" s="147"/>
      <c r="N31" s="147"/>
      <c r="O31" s="255"/>
      <c r="P31" s="246">
        <f>'B1'!W36</f>
        <v>7.0000000000000007E-2</v>
      </c>
      <c r="Q31" s="158" t="e">
        <f>P31*P32*S32</f>
        <v>#VALUE!</v>
      </c>
      <c r="R31" s="20"/>
      <c r="S31" s="482"/>
      <c r="T31" s="216"/>
      <c r="U31" s="216"/>
      <c r="V31" s="19"/>
      <c r="W31" s="19"/>
      <c r="X31" s="19"/>
      <c r="Y31" s="19"/>
      <c r="Z31" s="19"/>
      <c r="AA31" s="19"/>
      <c r="AB31" s="19"/>
      <c r="AC31" s="19"/>
      <c r="AD31" s="19"/>
      <c r="AE31" s="217"/>
      <c r="AI31" s="18"/>
      <c r="AJ31" s="18"/>
      <c r="AK31" s="18"/>
      <c r="AL31" s="18"/>
      <c r="AM31" s="18"/>
      <c r="AN31" s="18"/>
      <c r="AO31" s="18"/>
      <c r="AP31" s="18"/>
      <c r="AQ31" s="18"/>
      <c r="AR31" s="18"/>
      <c r="AS31" s="18"/>
      <c r="AT31" s="18"/>
      <c r="AU31" s="18"/>
      <c r="AV31" s="18"/>
      <c r="AW31" s="18"/>
      <c r="AX31" s="18"/>
      <c r="AY31" s="18"/>
      <c r="AZ31" s="18"/>
      <c r="BA31" s="18"/>
      <c r="BB31" s="18"/>
      <c r="BC31" s="18"/>
    </row>
    <row r="32" spans="2:55" ht="15.6" x14ac:dyDescent="0.3">
      <c r="B32" s="30"/>
      <c r="C32" s="380" t="str">
        <f>'B1'!K37</f>
        <v>a</v>
      </c>
      <c r="D32" s="649">
        <f>'B1'!N37</f>
        <v>0</v>
      </c>
      <c r="E32" s="650"/>
      <c r="F32" s="650"/>
      <c r="G32" s="650"/>
      <c r="H32" s="650"/>
      <c r="I32" s="650"/>
      <c r="J32" s="650"/>
      <c r="K32" s="650"/>
      <c r="L32" s="650"/>
      <c r="M32" s="650"/>
      <c r="N32" s="650"/>
      <c r="O32" s="651"/>
      <c r="P32" s="247">
        <f>'B1'!W37</f>
        <v>1</v>
      </c>
      <c r="Q32" s="191"/>
      <c r="R32" s="20"/>
      <c r="S32" s="481" t="str">
        <f>'B1'!AL37</f>
        <v>----</v>
      </c>
      <c r="T32" s="216"/>
      <c r="U32" s="216"/>
      <c r="V32" s="19"/>
      <c r="W32" s="19"/>
      <c r="X32" s="19"/>
      <c r="Y32" s="19"/>
      <c r="Z32" s="19"/>
      <c r="AA32" s="19"/>
      <c r="AB32" s="19"/>
      <c r="AC32" s="19"/>
      <c r="AD32" s="19"/>
      <c r="AE32" s="217"/>
      <c r="AI32" s="18" t="str">
        <f>IF(S32&gt;50,"","Verdiepend onderzoek naar "&amp;'B1'!L37)</f>
        <v/>
      </c>
      <c r="AJ32" s="18"/>
      <c r="AK32" s="18"/>
      <c r="AL32" s="18"/>
      <c r="AM32" s="18"/>
      <c r="AN32" s="18"/>
      <c r="AO32" s="18"/>
      <c r="AP32" s="18"/>
      <c r="AQ32" s="18"/>
      <c r="AR32" s="18"/>
      <c r="AS32" s="18"/>
      <c r="AT32" s="18"/>
      <c r="AU32" s="18"/>
      <c r="AV32" s="18"/>
      <c r="AW32" s="18"/>
      <c r="AX32" s="18"/>
      <c r="AY32" s="18"/>
      <c r="AZ32" s="18"/>
      <c r="BA32" s="18"/>
      <c r="BB32" s="18"/>
      <c r="BC32" s="18"/>
    </row>
    <row r="33" spans="2:55" ht="15.6" x14ac:dyDescent="0.3">
      <c r="B33" s="30"/>
      <c r="C33" s="134">
        <f>'B1'!K38</f>
        <v>7</v>
      </c>
      <c r="D33" s="148" t="str">
        <f>'B1'!L38</f>
        <v>Duurzaam materiaalgebruik (hoeveel x milieubelasting)</v>
      </c>
      <c r="E33" s="148"/>
      <c r="F33" s="148"/>
      <c r="G33" s="148"/>
      <c r="H33" s="149"/>
      <c r="I33" s="149"/>
      <c r="J33" s="149"/>
      <c r="K33" s="149"/>
      <c r="L33" s="149"/>
      <c r="M33" s="149"/>
      <c r="N33" s="149"/>
      <c r="O33" s="256"/>
      <c r="P33" s="246">
        <f>'B1'!W38</f>
        <v>0.25</v>
      </c>
      <c r="Q33" s="158" t="e">
        <f>(S34*P34+S35*P35)*P33</f>
        <v>#VALUE!</v>
      </c>
      <c r="R33" s="20"/>
      <c r="S33" s="482"/>
      <c r="T33" s="216"/>
      <c r="U33" s="216"/>
      <c r="V33" s="19"/>
      <c r="W33" s="19"/>
      <c r="X33" s="19"/>
      <c r="Y33" s="19"/>
      <c r="Z33" s="19"/>
      <c r="AA33" s="19"/>
      <c r="AB33" s="19"/>
      <c r="AC33" s="19"/>
      <c r="AD33" s="19"/>
      <c r="AE33" s="217"/>
      <c r="AI33" s="18"/>
      <c r="AJ33" s="18"/>
      <c r="AK33" s="18"/>
      <c r="AL33" s="18"/>
      <c r="AM33" s="18"/>
      <c r="AN33" s="18"/>
      <c r="AO33" s="18"/>
      <c r="AP33" s="18"/>
      <c r="AQ33" s="18"/>
      <c r="AR33" s="18"/>
      <c r="AS33" s="18"/>
      <c r="AT33" s="18"/>
      <c r="AU33" s="18"/>
      <c r="AV33" s="18"/>
      <c r="AW33" s="18"/>
      <c r="AX33" s="18"/>
      <c r="AY33" s="18"/>
      <c r="AZ33" s="18"/>
      <c r="BA33" s="18"/>
      <c r="BB33" s="18"/>
      <c r="BC33" s="18"/>
    </row>
    <row r="34" spans="2:55" ht="15.6" x14ac:dyDescent="0.3">
      <c r="B34" s="30"/>
      <c r="C34" s="380" t="str">
        <f>'B1'!K39</f>
        <v>a</v>
      </c>
      <c r="D34" s="389">
        <f>'B1'!N39</f>
        <v>0</v>
      </c>
      <c r="E34" s="390"/>
      <c r="F34" s="390"/>
      <c r="G34" s="390"/>
      <c r="H34" s="390"/>
      <c r="I34" s="390"/>
      <c r="J34" s="390"/>
      <c r="K34" s="390"/>
      <c r="L34" s="390"/>
      <c r="M34" s="390"/>
      <c r="N34" s="390"/>
      <c r="O34" s="487"/>
      <c r="P34" s="247">
        <f>'B1'!W39</f>
        <v>0.8</v>
      </c>
      <c r="Q34" s="191"/>
      <c r="R34" s="20"/>
      <c r="S34" s="481" t="str">
        <f>'B1'!AL39</f>
        <v>----</v>
      </c>
      <c r="T34" s="216"/>
      <c r="U34" s="216"/>
      <c r="V34" s="19"/>
      <c r="W34" s="19"/>
      <c r="X34" s="19"/>
      <c r="Y34" s="19"/>
      <c r="Z34" s="19"/>
      <c r="AA34" s="19"/>
      <c r="AB34" s="19"/>
      <c r="AC34" s="19"/>
      <c r="AD34" s="19"/>
      <c r="AE34" s="217"/>
      <c r="AI34" s="18" t="str">
        <f>IF(S34&gt;50,"","Verdiepend onderzoek naar "&amp;'B1'!L39)</f>
        <v/>
      </c>
      <c r="AJ34" s="18"/>
      <c r="AK34" s="18"/>
      <c r="AL34" s="18"/>
      <c r="AM34" s="18"/>
      <c r="AN34" s="18"/>
      <c r="AO34" s="18"/>
      <c r="AP34" s="18"/>
      <c r="AQ34" s="18"/>
      <c r="AR34" s="18"/>
      <c r="AS34" s="18"/>
      <c r="AT34" s="18"/>
      <c r="AU34" s="18"/>
      <c r="AV34" s="18"/>
      <c r="AW34" s="18"/>
      <c r="AX34" s="18"/>
      <c r="AY34" s="18"/>
      <c r="AZ34" s="18"/>
      <c r="BA34" s="18"/>
      <c r="BB34" s="18"/>
      <c r="BC34" s="18"/>
    </row>
    <row r="35" spans="2:55" ht="15.6" x14ac:dyDescent="0.3">
      <c r="B35" s="30"/>
      <c r="C35" s="380" t="str">
        <f>'B1'!K40</f>
        <v>b</v>
      </c>
      <c r="D35" s="389">
        <f>'B1'!N40</f>
        <v>0</v>
      </c>
      <c r="E35" s="390"/>
      <c r="F35" s="390"/>
      <c r="G35" s="390"/>
      <c r="H35" s="390"/>
      <c r="I35" s="390"/>
      <c r="J35" s="390"/>
      <c r="K35" s="390"/>
      <c r="L35" s="390"/>
      <c r="M35" s="390"/>
      <c r="N35" s="390"/>
      <c r="O35" s="487"/>
      <c r="P35" s="247">
        <f>'B1'!W40</f>
        <v>0.19999999999999996</v>
      </c>
      <c r="Q35" s="191"/>
      <c r="R35" s="20"/>
      <c r="S35" s="481" t="str">
        <f>'B1'!AL40</f>
        <v>----</v>
      </c>
      <c r="T35" s="216"/>
      <c r="U35" s="216"/>
      <c r="V35" s="19"/>
      <c r="W35" s="19"/>
      <c r="X35" s="19"/>
      <c r="Y35" s="19"/>
      <c r="Z35" s="19"/>
      <c r="AA35" s="19"/>
      <c r="AB35" s="19"/>
      <c r="AC35" s="19"/>
      <c r="AD35" s="19"/>
      <c r="AE35" s="217"/>
      <c r="AI35" s="18" t="str">
        <f>IF(S35&gt;50,"","Verdiepend onderzoek naar "&amp;'B1'!L40)</f>
        <v/>
      </c>
      <c r="AJ35" s="18"/>
      <c r="AK35" s="18"/>
      <c r="AL35" s="18"/>
      <c r="AM35" s="18"/>
      <c r="AN35" s="18"/>
      <c r="AO35" s="18"/>
      <c r="AP35" s="18"/>
      <c r="AQ35" s="18"/>
      <c r="AR35" s="18"/>
      <c r="AS35" s="18"/>
      <c r="AT35" s="18"/>
      <c r="AU35" s="18"/>
      <c r="AV35" s="18"/>
      <c r="AW35" s="18"/>
      <c r="AX35" s="18"/>
      <c r="AY35" s="18"/>
      <c r="AZ35" s="18"/>
      <c r="BA35" s="18"/>
      <c r="BB35" s="18"/>
      <c r="BC35" s="18"/>
    </row>
    <row r="36" spans="2:55" ht="15.6" x14ac:dyDescent="0.3">
      <c r="B36" s="30"/>
      <c r="C36" s="135">
        <f>'B1'!K41</f>
        <v>8</v>
      </c>
      <c r="D36" s="150" t="str">
        <f>'B1'!L41</f>
        <v>Ontwerp voor minimaal grondstof- en energiegebruik in de aanleg/gebruiksfase</v>
      </c>
      <c r="E36" s="150"/>
      <c r="F36" s="150"/>
      <c r="G36" s="150"/>
      <c r="H36" s="150"/>
      <c r="I36" s="150"/>
      <c r="J36" s="150"/>
      <c r="K36" s="151"/>
      <c r="L36" s="151"/>
      <c r="M36" s="151"/>
      <c r="N36" s="151"/>
      <c r="O36" s="257"/>
      <c r="P36" s="246">
        <f>'B1'!W41</f>
        <v>0.1</v>
      </c>
      <c r="Q36" s="158" t="e">
        <f>P36*P37*S37</f>
        <v>#VALUE!</v>
      </c>
      <c r="R36" s="20"/>
      <c r="S36" s="482"/>
      <c r="T36" s="216"/>
      <c r="U36" s="216"/>
      <c r="V36" s="19"/>
      <c r="W36" s="19"/>
      <c r="X36" s="19"/>
      <c r="Y36" s="19"/>
      <c r="Z36" s="19"/>
      <c r="AA36" s="19"/>
      <c r="AB36" s="19"/>
      <c r="AC36" s="19"/>
      <c r="AD36" s="19"/>
      <c r="AE36" s="217"/>
      <c r="AI36" s="18"/>
      <c r="AJ36" s="18"/>
      <c r="AK36" s="18"/>
      <c r="AL36" s="18"/>
      <c r="AM36" s="18"/>
      <c r="AN36" s="18"/>
      <c r="AO36" s="18"/>
      <c r="AP36" s="18"/>
      <c r="AQ36" s="18"/>
      <c r="AR36" s="18"/>
      <c r="AS36" s="18"/>
      <c r="AT36" s="18"/>
      <c r="AU36" s="18"/>
      <c r="AV36" s="18"/>
      <c r="AW36" s="18"/>
      <c r="AX36" s="18"/>
      <c r="AY36" s="18"/>
      <c r="AZ36" s="18"/>
      <c r="BA36" s="18"/>
      <c r="BB36" s="18"/>
      <c r="BC36" s="18"/>
    </row>
    <row r="37" spans="2:55" ht="16.2" thickBot="1" x14ac:dyDescent="0.35">
      <c r="B37" s="30"/>
      <c r="C37" s="391" t="str">
        <f>'B1'!K42</f>
        <v>a</v>
      </c>
      <c r="D37" s="394">
        <f>'B1'!N42</f>
        <v>0</v>
      </c>
      <c r="E37" s="392"/>
      <c r="F37" s="392"/>
      <c r="G37" s="392"/>
      <c r="H37" s="392"/>
      <c r="I37" s="392"/>
      <c r="J37" s="392"/>
      <c r="K37" s="392"/>
      <c r="L37" s="392"/>
      <c r="M37" s="392"/>
      <c r="N37" s="392"/>
      <c r="O37" s="393"/>
      <c r="P37" s="248">
        <f>'B1'!W42</f>
        <v>1</v>
      </c>
      <c r="Q37" s="192"/>
      <c r="R37" s="20"/>
      <c r="S37" s="481" t="str">
        <f>'B1'!AL42</f>
        <v>----</v>
      </c>
      <c r="T37" s="216" t="str">
        <f>IF(S37&lt;75,'info weging'!I157,"")</f>
        <v/>
      </c>
      <c r="U37" s="216"/>
      <c r="V37" s="19"/>
      <c r="W37" s="19"/>
      <c r="X37" s="19"/>
      <c r="Y37" s="19"/>
      <c r="Z37" s="19"/>
      <c r="AA37" s="19"/>
      <c r="AB37" s="19"/>
      <c r="AC37" s="19"/>
      <c r="AD37" s="19"/>
      <c r="AE37" s="217"/>
      <c r="AI37" s="18" t="str">
        <f>IF(S37&gt;50,"","Verdiepend onderzoek naar "&amp;'B1'!L42)</f>
        <v/>
      </c>
      <c r="AJ37" s="18"/>
      <c r="AK37" s="18"/>
      <c r="AL37" s="18"/>
      <c r="AM37" s="18"/>
      <c r="AN37" s="18"/>
      <c r="AO37" s="18"/>
      <c r="AP37" s="18"/>
      <c r="AQ37" s="18"/>
      <c r="AR37" s="18"/>
      <c r="AS37" s="18"/>
      <c r="AT37" s="18"/>
      <c r="AU37" s="18"/>
      <c r="AV37" s="18"/>
      <c r="AW37" s="18"/>
      <c r="AX37" s="18"/>
      <c r="AY37" s="18"/>
      <c r="AZ37" s="18"/>
      <c r="BA37" s="18"/>
      <c r="BB37" s="18"/>
      <c r="BC37" s="18"/>
    </row>
    <row r="38" spans="2:55" ht="16.2" thickBot="1" x14ac:dyDescent="0.35">
      <c r="B38" s="30"/>
      <c r="C38" s="193" t="s">
        <v>143</v>
      </c>
      <c r="D38" s="194"/>
      <c r="E38" s="194"/>
      <c r="F38" s="194"/>
      <c r="G38" s="194"/>
      <c r="H38" s="194"/>
      <c r="I38" s="194"/>
      <c r="J38" s="194"/>
      <c r="K38" s="194"/>
      <c r="L38" s="194"/>
      <c r="M38" s="194"/>
      <c r="N38" s="194"/>
      <c r="O38" s="258"/>
      <c r="P38" s="249">
        <v>1</v>
      </c>
      <c r="Q38" s="195" t="e">
        <f>SUM(Q18:Q37)</f>
        <v>#VALUE!</v>
      </c>
      <c r="R38" s="20"/>
      <c r="S38" s="488"/>
      <c r="T38" s="216"/>
      <c r="U38" s="216"/>
      <c r="V38" s="19"/>
      <c r="W38" s="19"/>
      <c r="X38" s="19"/>
      <c r="Y38" s="19"/>
      <c r="Z38" s="19"/>
      <c r="AA38" s="19"/>
      <c r="AB38" s="19"/>
      <c r="AC38" s="19"/>
      <c r="AD38" s="19"/>
      <c r="AE38" s="217"/>
      <c r="AI38" s="18"/>
      <c r="AJ38" s="18"/>
      <c r="AK38" s="18"/>
      <c r="AL38" s="18"/>
      <c r="AM38" s="18"/>
      <c r="AN38" s="18"/>
      <c r="AO38" s="18"/>
      <c r="AP38" s="18"/>
      <c r="AQ38" s="18"/>
      <c r="AR38" s="18"/>
      <c r="AS38" s="18"/>
      <c r="AT38" s="18"/>
      <c r="AU38" s="18"/>
      <c r="AV38" s="18"/>
      <c r="AW38" s="18"/>
      <c r="AX38" s="18"/>
      <c r="AY38" s="18"/>
      <c r="AZ38" s="18"/>
      <c r="BA38" s="18"/>
      <c r="BB38" s="18"/>
      <c r="BC38" s="18"/>
    </row>
    <row r="39" spans="2:55" ht="16.2" thickBot="1" x14ac:dyDescent="0.35">
      <c r="B39" s="30"/>
      <c r="C39" s="640" t="s">
        <v>321</v>
      </c>
      <c r="D39" s="164" t="s">
        <v>358</v>
      </c>
      <c r="E39" s="164"/>
      <c r="F39" s="164"/>
      <c r="G39" s="164"/>
      <c r="H39" s="164"/>
      <c r="I39" s="164"/>
      <c r="J39" s="164"/>
      <c r="K39" s="164"/>
      <c r="L39" s="164"/>
      <c r="M39" s="164"/>
      <c r="N39" s="209"/>
      <c r="O39" s="724"/>
      <c r="P39" s="250">
        <v>1</v>
      </c>
      <c r="Q39" s="190">
        <f>'B1'!AP44</f>
        <v>0</v>
      </c>
      <c r="R39" s="20"/>
      <c r="S39" s="488"/>
      <c r="T39" s="216"/>
      <c r="U39" s="216"/>
      <c r="V39" s="19"/>
      <c r="W39" s="19"/>
      <c r="X39" s="19"/>
      <c r="Y39" s="19"/>
      <c r="Z39" s="19"/>
      <c r="AA39" s="19"/>
      <c r="AB39" s="19"/>
      <c r="AC39" s="19"/>
      <c r="AD39" s="19"/>
      <c r="AE39" s="217"/>
      <c r="AI39" s="18" t="str">
        <f>IF('B1'!AR44=0,"",'B1'!AR44)</f>
        <v/>
      </c>
      <c r="AJ39" s="18"/>
      <c r="AK39" s="18"/>
      <c r="AL39" s="18"/>
      <c r="AM39" s="18"/>
      <c r="AN39" s="18"/>
      <c r="AO39" s="18"/>
      <c r="AP39" s="18"/>
      <c r="AQ39" s="18"/>
      <c r="AR39" s="18"/>
      <c r="AS39" s="18"/>
      <c r="AT39" s="18"/>
      <c r="AU39" s="18"/>
      <c r="AV39" s="18"/>
      <c r="AW39" s="18"/>
      <c r="AX39" s="18"/>
      <c r="AY39" s="18"/>
      <c r="AZ39" s="18"/>
      <c r="BA39" s="18"/>
      <c r="BB39" s="18"/>
      <c r="BC39" s="18"/>
    </row>
    <row r="40" spans="2:55" ht="16.2" thickBot="1" x14ac:dyDescent="0.35">
      <c r="B40" s="30"/>
      <c r="C40" s="197" t="s">
        <v>144</v>
      </c>
      <c r="D40" s="198"/>
      <c r="E40" s="198"/>
      <c r="F40" s="198"/>
      <c r="G40" s="198"/>
      <c r="H40" s="198"/>
      <c r="I40" s="198"/>
      <c r="J40" s="198"/>
      <c r="K40" s="198"/>
      <c r="L40" s="198"/>
      <c r="M40" s="198"/>
      <c r="N40" s="208"/>
      <c r="O40" s="199"/>
      <c r="P40" s="198"/>
      <c r="Q40" s="200" t="e">
        <f>Q38+Q39</f>
        <v>#VALUE!</v>
      </c>
      <c r="R40" s="20"/>
      <c r="S40" s="488"/>
      <c r="T40" s="218"/>
      <c r="U40" s="218"/>
      <c r="V40" s="219"/>
      <c r="W40" s="219"/>
      <c r="X40" s="219"/>
      <c r="Y40" s="219"/>
      <c r="Z40" s="219"/>
      <c r="AA40" s="219"/>
      <c r="AB40" s="219"/>
      <c r="AC40" s="219"/>
      <c r="AD40" s="219"/>
      <c r="AE40" s="220"/>
      <c r="AI40" s="355"/>
      <c r="AJ40" s="355"/>
      <c r="AK40" s="355"/>
      <c r="AL40" s="355"/>
      <c r="AM40" s="355"/>
      <c r="AN40" s="355"/>
      <c r="AO40" s="355"/>
      <c r="AP40" s="355"/>
      <c r="AQ40" s="355"/>
      <c r="AR40" s="355"/>
      <c r="AS40" s="355"/>
      <c r="AT40" s="355"/>
      <c r="AU40" s="355"/>
      <c r="AV40" s="355"/>
      <c r="AW40" s="355"/>
      <c r="AX40" s="355"/>
      <c r="AY40" s="355"/>
      <c r="AZ40" s="355"/>
      <c r="BA40" s="355"/>
      <c r="BB40" s="355"/>
      <c r="BC40" s="355"/>
    </row>
    <row r="41" spans="2:55" x14ac:dyDescent="0.3">
      <c r="B41" s="31"/>
      <c r="C41" s="489" t="s">
        <v>145</v>
      </c>
      <c r="D41" s="38"/>
      <c r="E41" s="38"/>
      <c r="F41" s="38"/>
      <c r="G41" s="38"/>
      <c r="H41" s="38"/>
      <c r="I41" s="38"/>
      <c r="J41" s="38"/>
      <c r="K41" s="38"/>
      <c r="L41" s="38"/>
      <c r="M41" s="38"/>
      <c r="N41" s="490">
        <v>0</v>
      </c>
      <c r="O41" s="491">
        <v>100</v>
      </c>
      <c r="P41" s="643" t="s">
        <v>323</v>
      </c>
      <c r="Q41" s="644" t="e">
        <f>100-Q40</f>
        <v>#VALUE!</v>
      </c>
      <c r="R41" s="38"/>
      <c r="S41" s="125"/>
    </row>
    <row r="42" spans="2:55" x14ac:dyDescent="0.3">
      <c r="H42" s="109"/>
      <c r="I42" s="109"/>
      <c r="J42" s="109"/>
      <c r="K42" s="109"/>
      <c r="L42" s="109"/>
      <c r="M42" s="109"/>
      <c r="N42" s="109"/>
      <c r="P42" s="109"/>
      <c r="Q42" s="109"/>
    </row>
  </sheetData>
  <sheetProtection algorithmName="SHA-512" hashValue="yrv7kwVJpUNYroZxs0+PXmWGkUxN21p4sFDjqmZZyRvWoyaEDIrFM3vLG0kNxhmBpozr+FHgEpNT72mSUa6vHQ==" saltValue="gkK1RAxLOl0zkjJp0PovOg==" spinCount="100000" sheet="1" objects="1" scenarios="1"/>
  <conditionalFormatting sqref="R3:R5">
    <cfRule type="colorScale" priority="35">
      <colorScale>
        <cfvo type="min"/>
        <cfvo type="percentile" val="50"/>
        <cfvo type="max"/>
        <color rgb="FFF8696B"/>
        <color rgb="FFFFEB84"/>
        <color rgb="FF63BE7B"/>
      </colorScale>
    </cfRule>
  </conditionalFormatting>
  <conditionalFormatting sqref="N18:N37 N39:N40 O26">
    <cfRule type="iconSet" priority="33">
      <iconSet iconSet="4TrafficLights">
        <cfvo type="percent" val="0"/>
        <cfvo type="num" val="25" gte="0"/>
        <cfvo type="num" val="50" gte="0"/>
        <cfvo type="num" val="75" gte="0"/>
      </iconSet>
    </cfRule>
    <cfRule type="iconSet" priority="34">
      <iconSet iconSet="4TrafficLights">
        <cfvo type="percent" val="0"/>
        <cfvo type="num" val="0"/>
        <cfvo type="num" val="0"/>
        <cfvo type="num" val="76"/>
      </iconSet>
    </cfRule>
  </conditionalFormatting>
  <conditionalFormatting sqref="S20 S22 S26 S29 S31 S33 S36">
    <cfRule type="iconSet" priority="31">
      <iconSet iconSet="4TrafficLights">
        <cfvo type="percent" val="0"/>
        <cfvo type="num" val="25" gte="0"/>
        <cfvo type="num" val="50" gte="0"/>
        <cfvo type="num" val="75" gte="0"/>
      </iconSet>
    </cfRule>
    <cfRule type="iconSet" priority="32">
      <iconSet iconSet="4TrafficLights">
        <cfvo type="percent" val="0"/>
        <cfvo type="num" val="0"/>
        <cfvo type="num" val="0"/>
        <cfvo type="num" val="76"/>
      </iconSet>
    </cfRule>
  </conditionalFormatting>
  <conditionalFormatting sqref="O29">
    <cfRule type="iconSet" priority="29">
      <iconSet iconSet="4TrafficLights">
        <cfvo type="percent" val="0"/>
        <cfvo type="num" val="25" gte="0"/>
        <cfvo type="num" val="50" gte="0"/>
        <cfvo type="num" val="75" gte="0"/>
      </iconSet>
    </cfRule>
    <cfRule type="iconSet" priority="30">
      <iconSet iconSet="4TrafficLights">
        <cfvo type="percent" val="0"/>
        <cfvo type="num" val="0"/>
        <cfvo type="num" val="0"/>
        <cfvo type="num" val="76"/>
      </iconSet>
    </cfRule>
  </conditionalFormatting>
  <conditionalFormatting sqref="O31">
    <cfRule type="iconSet" priority="27">
      <iconSet iconSet="4TrafficLights">
        <cfvo type="percent" val="0"/>
        <cfvo type="num" val="25" gte="0"/>
        <cfvo type="num" val="50" gte="0"/>
        <cfvo type="num" val="75" gte="0"/>
      </iconSet>
    </cfRule>
    <cfRule type="iconSet" priority="28">
      <iconSet iconSet="4TrafficLights">
        <cfvo type="percent" val="0"/>
        <cfvo type="num" val="0"/>
        <cfvo type="num" val="0"/>
        <cfvo type="num" val="76"/>
      </iconSet>
    </cfRule>
  </conditionalFormatting>
  <conditionalFormatting sqref="O33">
    <cfRule type="iconSet" priority="25">
      <iconSet iconSet="4TrafficLights">
        <cfvo type="percent" val="0"/>
        <cfvo type="num" val="25" gte="0"/>
        <cfvo type="num" val="50" gte="0"/>
        <cfvo type="num" val="75" gte="0"/>
      </iconSet>
    </cfRule>
    <cfRule type="iconSet" priority="26">
      <iconSet iconSet="4TrafficLights">
        <cfvo type="percent" val="0"/>
        <cfvo type="num" val="0"/>
        <cfvo type="num" val="0"/>
        <cfvo type="num" val="76"/>
      </iconSet>
    </cfRule>
  </conditionalFormatting>
  <conditionalFormatting sqref="O36">
    <cfRule type="iconSet" priority="23">
      <iconSet iconSet="4TrafficLights">
        <cfvo type="percent" val="0"/>
        <cfvo type="num" val="25" gte="0"/>
        <cfvo type="num" val="50" gte="0"/>
        <cfvo type="num" val="75" gte="0"/>
      </iconSet>
    </cfRule>
    <cfRule type="iconSet" priority="24">
      <iconSet iconSet="4TrafficLights">
        <cfvo type="percent" val="0"/>
        <cfvo type="num" val="0"/>
        <cfvo type="num" val="0"/>
        <cfvo type="num" val="76"/>
      </iconSet>
    </cfRule>
  </conditionalFormatting>
  <conditionalFormatting sqref="S19 S21 S23:S25 S27:S28 S30 S32 S34:S35 S37">
    <cfRule type="iconSet" priority="22">
      <iconSet>
        <cfvo type="percent" val="0"/>
        <cfvo type="num" val="50"/>
        <cfvo type="num" val="75"/>
      </iconSet>
    </cfRule>
  </conditionalFormatting>
  <conditionalFormatting sqref="O5">
    <cfRule type="iconSet" priority="7">
      <iconSet>
        <cfvo type="percent" val="0"/>
        <cfvo type="percent" val="25"/>
        <cfvo type="percent" val="75"/>
      </iconSet>
    </cfRule>
  </conditionalFormatting>
  <conditionalFormatting sqref="P5">
    <cfRule type="iconSet" priority="6">
      <iconSet>
        <cfvo type="percent" val="0"/>
        <cfvo type="percent" val="25"/>
        <cfvo type="percent" val="75"/>
      </iconSet>
    </cfRule>
  </conditionalFormatting>
  <conditionalFormatting sqref="Q5">
    <cfRule type="iconSet" priority="3">
      <iconSet>
        <cfvo type="percent" val="0"/>
        <cfvo type="percent" val="25"/>
        <cfvo type="percent" val="75"/>
      </iconSet>
    </cfRule>
    <cfRule type="iconSet" priority="4">
      <iconSet>
        <cfvo type="percent" val="0"/>
        <cfvo type="percent" val="33"/>
        <cfvo type="percent" val="67"/>
      </iconSet>
    </cfRule>
    <cfRule type="iconSet" priority="5">
      <iconSet>
        <cfvo type="percent" val="0"/>
        <cfvo type="percent" val="25"/>
        <cfvo type="percent" val="75"/>
      </iconSet>
    </cfRule>
  </conditionalFormatting>
  <conditionalFormatting sqref="O5:Q5">
    <cfRule type="iconSet" priority="1">
      <iconSet>
        <cfvo type="percent" val="0"/>
        <cfvo type="num" val="0.26"/>
        <cfvo type="num" val="0.75"/>
      </iconSet>
    </cfRule>
    <cfRule type="iconSet" priority="2">
      <iconSet>
        <cfvo type="percent" val="0"/>
        <cfvo type="percent" val="33"/>
        <cfvo type="percent" val="67"/>
      </iconSet>
    </cfRule>
  </conditionalFormatting>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F33D5869-B125-4A87-894E-FF602D13C0F1}">
          <x14:formula1>
            <xm:f>'info weging'!$H$175:$H$181</xm:f>
          </x14:formula1>
          <xm:sqref>T4:T5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8ACA7-785A-44FC-A98B-94D387BCA4EB}">
  <sheetPr>
    <tabColor rgb="FF600000"/>
  </sheetPr>
  <dimension ref="B1:BC42"/>
  <sheetViews>
    <sheetView showGridLines="0" showRowColHeaders="0" zoomScale="55" zoomScaleNormal="55" workbookViewId="0">
      <selection activeCell="B41" sqref="B1:S41"/>
    </sheetView>
  </sheetViews>
  <sheetFormatPr defaultRowHeight="14.4" x14ac:dyDescent="0.3"/>
  <cols>
    <col min="3" max="3" width="8.88671875" style="107"/>
    <col min="4" max="4" width="45.5546875" customWidth="1"/>
    <col min="7" max="7" width="12.6640625" customWidth="1"/>
    <col min="14" max="14" width="11.109375" customWidth="1"/>
    <col min="15" max="15" width="8.88671875" style="109"/>
    <col min="18" max="18" width="0" hidden="1" customWidth="1"/>
    <col min="19" max="19" width="9.6640625" customWidth="1"/>
    <col min="20" max="33" width="0" hidden="1" customWidth="1"/>
  </cols>
  <sheetData>
    <row r="1" spans="2:55" ht="53.4" customHeight="1" x14ac:dyDescent="0.65">
      <c r="B1" s="119"/>
      <c r="C1" s="81"/>
      <c r="D1" s="81"/>
      <c r="E1" s="654"/>
      <c r="F1" s="654"/>
      <c r="G1" s="654"/>
      <c r="H1" s="655"/>
      <c r="I1" s="656"/>
      <c r="J1" s="656"/>
      <c r="K1" s="656"/>
      <c r="L1" s="656"/>
      <c r="M1" s="656"/>
      <c r="N1" s="656"/>
      <c r="O1" s="656"/>
      <c r="P1" s="656"/>
      <c r="Q1" s="657"/>
      <c r="R1" s="81"/>
      <c r="S1" s="121"/>
    </row>
    <row r="2" spans="2:55" ht="15" thickBot="1" x14ac:dyDescent="0.35">
      <c r="B2" s="30"/>
      <c r="C2" s="20"/>
      <c r="D2" s="20"/>
      <c r="E2" s="20"/>
      <c r="F2" s="20"/>
      <c r="G2" s="20"/>
      <c r="H2" s="20"/>
      <c r="I2" s="20"/>
      <c r="J2" s="20"/>
      <c r="K2" s="20"/>
      <c r="L2" s="20"/>
      <c r="M2" s="20"/>
      <c r="N2" s="20"/>
      <c r="O2" s="20"/>
      <c r="P2" s="20"/>
      <c r="Q2" s="20"/>
      <c r="R2" s="20"/>
      <c r="S2" s="123"/>
    </row>
    <row r="3" spans="2:55" ht="21" customHeight="1" thickBot="1" x14ac:dyDescent="0.5">
      <c r="B3" s="30"/>
      <c r="C3" s="641" t="str">
        <f>'C1'!$N$2</f>
        <v>De Circulaire Peiler</v>
      </c>
      <c r="D3" s="588"/>
      <c r="E3" s="588"/>
      <c r="F3" s="588"/>
      <c r="G3" s="588"/>
      <c r="H3" s="588"/>
      <c r="I3" s="588"/>
      <c r="J3" s="588"/>
      <c r="K3" s="588"/>
      <c r="L3" s="588"/>
      <c r="M3" s="588"/>
      <c r="N3" s="215" t="s">
        <v>127</v>
      </c>
      <c r="O3" s="215" t="s">
        <v>128</v>
      </c>
      <c r="P3" s="213"/>
      <c r="Q3" s="214"/>
      <c r="R3" s="196">
        <v>0</v>
      </c>
      <c r="S3" s="123"/>
    </row>
    <row r="4" spans="2:55" ht="21.6" customHeight="1" x14ac:dyDescent="0.35">
      <c r="B4" s="30"/>
      <c r="C4" s="642" t="str">
        <f>'C1'!$N$3</f>
        <v>Peilstok die circulariteit in projecten meetbaar maakt</v>
      </c>
      <c r="D4" s="589"/>
      <c r="E4" s="589"/>
      <c r="F4" s="589"/>
      <c r="G4" s="589"/>
      <c r="H4" s="589"/>
      <c r="I4" s="589"/>
      <c r="J4" s="589"/>
      <c r="K4" s="589"/>
      <c r="L4" s="589"/>
      <c r="M4" s="589"/>
      <c r="N4" s="711" t="s">
        <v>381</v>
      </c>
      <c r="O4" s="396" t="s">
        <v>130</v>
      </c>
      <c r="P4" s="397" t="s">
        <v>351</v>
      </c>
      <c r="Q4" s="398" t="s">
        <v>131</v>
      </c>
      <c r="R4" s="196">
        <v>100</v>
      </c>
      <c r="S4" s="123"/>
      <c r="T4" s="47"/>
    </row>
    <row r="5" spans="2:55" ht="21.6" customHeight="1" thickBot="1" x14ac:dyDescent="0.4">
      <c r="B5" s="30"/>
      <c r="C5" s="590" t="s">
        <v>132</v>
      </c>
      <c r="D5" s="591" t="str">
        <f>'C1'!AP2&amp; " d.d. "&amp;'C1'!AP3</f>
        <v xml:space="preserve"> d.d. </v>
      </c>
      <c r="E5" s="591"/>
      <c r="F5" s="591"/>
      <c r="G5" s="591"/>
      <c r="H5" s="591"/>
      <c r="I5" s="591"/>
      <c r="J5" s="591"/>
      <c r="K5" s="591"/>
      <c r="L5" s="591"/>
      <c r="M5" s="591"/>
      <c r="N5" s="231" t="e">
        <f>Q40</f>
        <v>#VALUE!</v>
      </c>
      <c r="O5" s="271" t="str">
        <f>IF('C1'!AP68=0,"?",'C1'!AP67)</f>
        <v>?</v>
      </c>
      <c r="P5" s="272" t="str">
        <f>IF('C1'!AP72=0,"?",'C1'!AP71)</f>
        <v>?</v>
      </c>
      <c r="Q5" s="273" t="str">
        <f>IF('C1'!AP76=0,"?",'C1'!AP75)</f>
        <v>?</v>
      </c>
      <c r="R5" s="196"/>
      <c r="S5" s="123"/>
      <c r="T5" s="47"/>
    </row>
    <row r="6" spans="2:55" ht="21" x14ac:dyDescent="0.4">
      <c r="B6" s="30"/>
      <c r="C6" s="478"/>
      <c r="D6" s="20"/>
      <c r="E6" s="20"/>
      <c r="F6" s="20"/>
      <c r="G6" s="20"/>
      <c r="H6" s="20"/>
      <c r="I6" s="20"/>
      <c r="J6" s="20"/>
      <c r="K6" s="20"/>
      <c r="L6" s="20"/>
      <c r="M6" s="20"/>
      <c r="N6" s="20"/>
      <c r="O6" s="166" t="s">
        <v>133</v>
      </c>
      <c r="P6" s="20"/>
      <c r="Q6" s="20"/>
      <c r="R6" s="20"/>
      <c r="S6" s="123"/>
    </row>
    <row r="7" spans="2:55" x14ac:dyDescent="0.3">
      <c r="B7" s="30"/>
      <c r="C7" s="119"/>
      <c r="D7" s="81"/>
      <c r="E7" s="81"/>
      <c r="F7" s="81"/>
      <c r="G7" s="81"/>
      <c r="H7" s="81"/>
      <c r="I7" s="81"/>
      <c r="J7" s="81"/>
      <c r="K7" s="81"/>
      <c r="L7" s="81"/>
      <c r="M7" s="121"/>
      <c r="N7" s="119" t="s">
        <v>29</v>
      </c>
      <c r="O7" s="120"/>
      <c r="P7" s="81"/>
      <c r="Q7" s="121"/>
      <c r="R7" s="20"/>
      <c r="S7" s="123"/>
    </row>
    <row r="8" spans="2:55" x14ac:dyDescent="0.3">
      <c r="B8" s="30"/>
      <c r="C8" s="152" t="s">
        <v>21</v>
      </c>
      <c r="D8" s="20"/>
      <c r="E8" s="20"/>
      <c r="F8" s="20"/>
      <c r="G8" s="749" t="str">
        <f>'C1'!N4</f>
        <v>Projectnaam</v>
      </c>
      <c r="H8" s="154"/>
      <c r="I8" s="154"/>
      <c r="J8" s="154"/>
      <c r="K8" s="20"/>
      <c r="L8" s="20"/>
      <c r="M8" s="123"/>
      <c r="N8" s="122">
        <v>1</v>
      </c>
      <c r="O8" s="20" t="s">
        <v>50</v>
      </c>
      <c r="P8" s="20"/>
      <c r="Q8" s="123"/>
      <c r="R8" s="20"/>
      <c r="S8" s="123"/>
    </row>
    <row r="9" spans="2:55" x14ac:dyDescent="0.3">
      <c r="B9" s="30"/>
      <c r="C9" s="152" t="s">
        <v>324</v>
      </c>
      <c r="D9" s="20"/>
      <c r="E9" s="20"/>
      <c r="F9" s="20"/>
      <c r="G9" s="749" t="str">
        <f>'C1'!N6</f>
        <v>Plaatsnaam</v>
      </c>
      <c r="H9" s="154"/>
      <c r="I9" s="154"/>
      <c r="J9" s="154"/>
      <c r="K9" s="20"/>
      <c r="L9" s="20"/>
      <c r="M9" s="123"/>
      <c r="N9" s="122">
        <v>2</v>
      </c>
      <c r="O9" s="20" t="s">
        <v>22</v>
      </c>
      <c r="P9" s="20"/>
      <c r="Q9" s="123"/>
      <c r="R9" s="20"/>
      <c r="S9" s="123"/>
    </row>
    <row r="10" spans="2:55" x14ac:dyDescent="0.3">
      <c r="B10" s="30"/>
      <c r="C10" s="152" t="s">
        <v>325</v>
      </c>
      <c r="D10" s="20"/>
      <c r="E10" s="20"/>
      <c r="F10" s="20"/>
      <c r="G10" s="749" t="str">
        <f>'C1'!N7</f>
        <v>C1</v>
      </c>
      <c r="H10" s="154"/>
      <c r="I10" s="154"/>
      <c r="J10" s="154"/>
      <c r="K10" s="20"/>
      <c r="L10" s="20"/>
      <c r="M10" s="123"/>
      <c r="N10" s="122">
        <v>3</v>
      </c>
      <c r="O10" s="20" t="s">
        <v>134</v>
      </c>
      <c r="P10" s="20"/>
      <c r="Q10" s="123"/>
      <c r="R10" s="20"/>
      <c r="S10" s="123"/>
    </row>
    <row r="11" spans="2:55" x14ac:dyDescent="0.3">
      <c r="B11" s="30"/>
      <c r="C11" s="152" t="s">
        <v>135</v>
      </c>
      <c r="D11" s="20"/>
      <c r="E11" s="20"/>
      <c r="F11" s="20"/>
      <c r="G11" s="293">
        <f>IF(H11="initiatieffase",1)+IF(H11="verkenningsfase",2)+IF(H11="beheer/onderhoudsfase",6)+IF(H11="contractvormingsfase",4)+IF(H11="realisatiefase",5)+IF(H11="&lt;eigen weegfactoren&gt;",7)+IF(H11="planuitwerkingsfase",3)</f>
        <v>2</v>
      </c>
      <c r="H11" s="154" t="str">
        <f>'C1'!N8</f>
        <v>verkenningsfase</v>
      </c>
      <c r="I11" s="154"/>
      <c r="J11" s="154"/>
      <c r="K11" s="169"/>
      <c r="L11" s="167"/>
      <c r="M11" s="168"/>
      <c r="N11" s="122">
        <v>4</v>
      </c>
      <c r="O11" s="20" t="s">
        <v>136</v>
      </c>
      <c r="P11" s="20"/>
      <c r="Q11" s="123"/>
      <c r="R11" s="20"/>
      <c r="S11" s="123"/>
      <c r="T11" s="1"/>
      <c r="U11" s="1"/>
      <c r="V11" s="1"/>
      <c r="W11" s="1"/>
      <c r="X11" s="1"/>
      <c r="Y11" s="1"/>
      <c r="Z11" s="1"/>
      <c r="AA11" s="1"/>
      <c r="AB11" s="1"/>
      <c r="AC11" s="1"/>
      <c r="AD11" s="1"/>
      <c r="AE11" s="1"/>
      <c r="AF11" s="1"/>
      <c r="AG11" s="1"/>
      <c r="AH11" s="1"/>
      <c r="AI11" s="1"/>
      <c r="AJ11" s="1"/>
      <c r="AK11" s="1"/>
      <c r="AL11" s="1"/>
    </row>
    <row r="12" spans="2:55" x14ac:dyDescent="0.3">
      <c r="B12" s="30"/>
      <c r="C12" s="152"/>
      <c r="D12" s="20"/>
      <c r="E12" s="20"/>
      <c r="F12" s="20"/>
      <c r="G12" s="750"/>
      <c r="H12" s="20"/>
      <c r="I12" s="20"/>
      <c r="J12" s="20"/>
      <c r="K12" s="20"/>
      <c r="L12" s="20"/>
      <c r="M12" s="123"/>
      <c r="N12" s="122">
        <v>5</v>
      </c>
      <c r="O12" s="20" t="s">
        <v>137</v>
      </c>
      <c r="P12" s="20"/>
      <c r="Q12" s="123"/>
      <c r="R12" s="20"/>
      <c r="S12" s="123"/>
      <c r="T12" s="1"/>
      <c r="U12" s="1"/>
      <c r="V12" s="1"/>
      <c r="W12" s="1"/>
      <c r="X12" s="1"/>
      <c r="Y12" s="1"/>
      <c r="Z12" s="1"/>
      <c r="AA12" s="1"/>
      <c r="AB12" s="1"/>
      <c r="AC12" s="1"/>
      <c r="AD12" s="1"/>
      <c r="AE12" s="1"/>
      <c r="AF12" s="1"/>
      <c r="AG12" s="1"/>
      <c r="AH12" s="1"/>
      <c r="AI12" s="1"/>
      <c r="AJ12" s="1"/>
      <c r="AK12" s="1"/>
      <c r="AL12" s="1"/>
    </row>
    <row r="13" spans="2:55" x14ac:dyDescent="0.3">
      <c r="B13" s="30"/>
      <c r="C13" s="152" t="s">
        <v>23</v>
      </c>
      <c r="D13" s="20"/>
      <c r="E13" s="20"/>
      <c r="F13" s="20"/>
      <c r="G13" s="749" t="str">
        <f>'C1'!N10</f>
        <v>C2</v>
      </c>
      <c r="H13" s="154"/>
      <c r="I13" s="154"/>
      <c r="J13" s="154"/>
      <c r="K13" s="20"/>
      <c r="L13" s="20"/>
      <c r="M13" s="123"/>
      <c r="N13" s="122">
        <v>6</v>
      </c>
      <c r="O13" s="20" t="s">
        <v>138</v>
      </c>
      <c r="P13" s="20"/>
      <c r="Q13" s="123"/>
      <c r="R13" s="20"/>
      <c r="S13" s="123"/>
      <c r="T13" s="1"/>
      <c r="U13" s="1"/>
      <c r="V13" s="1"/>
      <c r="W13" s="1"/>
      <c r="X13" s="1"/>
      <c r="Y13" s="1"/>
      <c r="Z13" s="1"/>
      <c r="AA13" s="1"/>
      <c r="AB13" s="1"/>
      <c r="AC13" s="1"/>
      <c r="AD13" s="1"/>
      <c r="AE13" s="1"/>
      <c r="AF13" s="1"/>
      <c r="AG13" s="1"/>
      <c r="AH13" s="1"/>
      <c r="AI13" s="1"/>
      <c r="AJ13" s="1"/>
      <c r="AK13" s="1"/>
      <c r="AL13" s="1"/>
    </row>
    <row r="14" spans="2:55" x14ac:dyDescent="0.3">
      <c r="B14" s="30"/>
      <c r="C14" s="153" t="s">
        <v>24</v>
      </c>
      <c r="D14" s="38"/>
      <c r="E14" s="38"/>
      <c r="F14" s="38"/>
      <c r="G14" s="751" t="str">
        <f>'C1'!N11</f>
        <v>C3</v>
      </c>
      <c r="H14" s="170"/>
      <c r="I14" s="170"/>
      <c r="J14" s="170"/>
      <c r="K14" s="38" t="str">
        <f>IF(G18=7,O14,"")</f>
        <v/>
      </c>
      <c r="L14" s="38"/>
      <c r="M14" s="125"/>
      <c r="N14" s="124">
        <v>7</v>
      </c>
      <c r="O14" s="38" t="s">
        <v>139</v>
      </c>
      <c r="P14" s="38"/>
      <c r="Q14" s="125"/>
      <c r="R14" s="20"/>
      <c r="S14" s="123"/>
      <c r="T14" s="1"/>
      <c r="U14" s="1"/>
      <c r="V14" s="1"/>
      <c r="W14" s="1"/>
      <c r="X14" s="1"/>
      <c r="Y14" s="1"/>
      <c r="Z14" s="1"/>
      <c r="AA14" s="1"/>
      <c r="AB14" s="1"/>
      <c r="AC14" s="1"/>
      <c r="AD14" s="1"/>
      <c r="AE14" s="1"/>
      <c r="AF14" s="1"/>
      <c r="AG14" s="1"/>
      <c r="AH14" s="1"/>
      <c r="AI14" s="1"/>
      <c r="AJ14" s="1"/>
      <c r="AK14" s="1"/>
      <c r="AL14" s="1"/>
    </row>
    <row r="15" spans="2:55" ht="384" customHeight="1" x14ac:dyDescent="0.3">
      <c r="B15" s="30"/>
      <c r="C15" s="166"/>
      <c r="D15" s="479" t="s">
        <v>322</v>
      </c>
      <c r="E15" s="20"/>
      <c r="F15" s="20"/>
      <c r="G15" s="20"/>
      <c r="H15" s="20"/>
      <c r="I15" s="20"/>
      <c r="J15" s="20"/>
      <c r="K15" s="20"/>
      <c r="L15" s="20"/>
      <c r="M15" s="20"/>
      <c r="N15" s="126"/>
      <c r="O15" s="20"/>
      <c r="P15" s="20"/>
      <c r="Q15" s="20"/>
      <c r="R15" s="20"/>
      <c r="S15" s="123"/>
      <c r="T15" s="1"/>
      <c r="U15" s="1"/>
      <c r="V15" s="1"/>
      <c r="W15" s="1"/>
      <c r="X15" s="1"/>
      <c r="Y15" s="1"/>
      <c r="Z15" s="1"/>
      <c r="AA15" s="1"/>
      <c r="AB15" s="1"/>
      <c r="AC15" s="1"/>
      <c r="AD15" s="1"/>
      <c r="AE15" s="1"/>
      <c r="AF15" s="1"/>
      <c r="AG15" s="1"/>
      <c r="AH15" s="1"/>
      <c r="AI15" s="1"/>
      <c r="AJ15" s="1"/>
      <c r="AK15" s="1"/>
      <c r="AL15" s="1"/>
    </row>
    <row r="16" spans="2:55" ht="12" customHeight="1" x14ac:dyDescent="0.3">
      <c r="B16" s="30"/>
      <c r="C16" s="224"/>
      <c r="D16" s="225"/>
      <c r="E16" s="81"/>
      <c r="F16" s="81"/>
      <c r="G16" s="81"/>
      <c r="H16" s="81"/>
      <c r="I16" s="81"/>
      <c r="J16" s="81"/>
      <c r="K16" s="81"/>
      <c r="L16" s="81"/>
      <c r="M16" s="81"/>
      <c r="N16" s="120"/>
      <c r="O16" s="81"/>
      <c r="P16" s="119"/>
      <c r="Q16" s="229" t="s">
        <v>129</v>
      </c>
      <c r="R16" s="20"/>
      <c r="S16" s="123"/>
      <c r="AI16" s="18"/>
      <c r="AJ16" s="18"/>
      <c r="AK16" s="18"/>
      <c r="AL16" s="18"/>
      <c r="AM16" s="18"/>
      <c r="AN16" s="18"/>
      <c r="AO16" s="18"/>
      <c r="AP16" s="18"/>
      <c r="AQ16" s="18"/>
      <c r="AR16" s="18"/>
      <c r="AS16" s="18"/>
      <c r="AT16" s="18"/>
      <c r="AU16" s="18"/>
      <c r="AV16" s="18"/>
      <c r="AW16" s="18"/>
      <c r="AX16" s="18"/>
      <c r="AY16" s="18"/>
      <c r="AZ16" s="18"/>
      <c r="BA16" s="18"/>
      <c r="BB16" s="18"/>
      <c r="BC16" s="18"/>
    </row>
    <row r="17" spans="2:55" ht="15.6" x14ac:dyDescent="0.3">
      <c r="B17" s="30"/>
      <c r="C17" s="226" t="str">
        <f>"Overzicht acties en maatregelen. Hoe invulling wordt gegeven aan de 8 ontwerpprincipes uit het MIRT. Alternatief: "&amp;'info vergelijk'!G47</f>
        <v>Overzicht acties en maatregelen. Hoe invulling wordt gegeven aan de 8 ontwerpprincipes uit het MIRT. Alternatief: C1 NIET VOLLEDIG</v>
      </c>
      <c r="D17" s="227"/>
      <c r="E17" s="227"/>
      <c r="F17" s="227"/>
      <c r="G17" s="227"/>
      <c r="H17" s="227"/>
      <c r="I17" s="227"/>
      <c r="J17" s="227"/>
      <c r="K17" s="227"/>
      <c r="L17" s="227"/>
      <c r="M17" s="227"/>
      <c r="N17" s="227"/>
      <c r="O17" s="228"/>
      <c r="P17" s="230" t="s">
        <v>47</v>
      </c>
      <c r="Q17" s="395" t="s">
        <v>140</v>
      </c>
      <c r="R17" s="20"/>
      <c r="S17" s="123" t="s">
        <v>141</v>
      </c>
      <c r="T17" s="477" t="s">
        <v>142</v>
      </c>
      <c r="U17" s="221"/>
      <c r="V17" s="222"/>
      <c r="W17" s="222"/>
      <c r="X17" s="222"/>
      <c r="Y17" s="222"/>
      <c r="Z17" s="222"/>
      <c r="AA17" s="222"/>
      <c r="AB17" s="222"/>
      <c r="AC17" s="222"/>
      <c r="AD17" s="222"/>
      <c r="AE17" s="223"/>
      <c r="AI17" s="356" t="s">
        <v>369</v>
      </c>
      <c r="AJ17" s="18"/>
      <c r="AK17" s="18"/>
      <c r="AL17" s="18"/>
      <c r="AM17" s="18"/>
      <c r="AN17" s="18"/>
      <c r="AO17" s="18"/>
      <c r="AP17" s="18"/>
      <c r="AQ17" s="18"/>
      <c r="AR17" s="18"/>
      <c r="AS17" s="18"/>
      <c r="AT17" s="18"/>
      <c r="AU17" s="18"/>
      <c r="AV17" s="18"/>
      <c r="AW17" s="18"/>
      <c r="AX17" s="18"/>
      <c r="AY17" s="18"/>
      <c r="AZ17" s="18"/>
      <c r="BA17" s="18"/>
      <c r="BB17" s="18"/>
      <c r="BC17" s="18"/>
    </row>
    <row r="18" spans="2:55" ht="15.6" x14ac:dyDescent="0.3">
      <c r="B18" s="30"/>
      <c r="C18" s="129">
        <f>'C1'!K23</f>
        <v>1</v>
      </c>
      <c r="D18" s="136" t="str">
        <f>'C1'!L23</f>
        <v>Voorkómen: niet doen wat echt niet hoeft</v>
      </c>
      <c r="E18" s="136"/>
      <c r="F18" s="136"/>
      <c r="G18" s="137"/>
      <c r="H18" s="137"/>
      <c r="I18" s="137"/>
      <c r="J18" s="137"/>
      <c r="K18" s="137"/>
      <c r="L18" s="137"/>
      <c r="M18" s="137"/>
      <c r="N18" s="137"/>
      <c r="O18" s="245"/>
      <c r="P18" s="246">
        <f>'C1'!W23</f>
        <v>0.27</v>
      </c>
      <c r="Q18" s="158" t="e">
        <f>P18*P19*S19</f>
        <v>#VALUE!</v>
      </c>
      <c r="R18" s="20"/>
      <c r="S18" s="123"/>
      <c r="T18" s="216"/>
      <c r="U18" s="216"/>
      <c r="V18" s="19"/>
      <c r="W18" s="19"/>
      <c r="X18" s="19"/>
      <c r="Y18" s="19"/>
      <c r="Z18" s="19"/>
      <c r="AA18" s="19"/>
      <c r="AB18" s="19"/>
      <c r="AC18" s="19"/>
      <c r="AD18" s="19"/>
      <c r="AE18" s="217"/>
      <c r="AI18" s="18"/>
      <c r="AJ18" s="18"/>
      <c r="AK18" s="18"/>
      <c r="AL18" s="18"/>
      <c r="AM18" s="18"/>
      <c r="AN18" s="18"/>
      <c r="AO18" s="18"/>
      <c r="AP18" s="18"/>
      <c r="AQ18" s="18"/>
      <c r="AR18" s="18"/>
      <c r="AS18" s="18"/>
      <c r="AT18" s="18"/>
      <c r="AU18" s="18"/>
      <c r="AV18" s="18"/>
      <c r="AW18" s="18"/>
      <c r="AX18" s="18"/>
      <c r="AY18" s="18"/>
      <c r="AZ18" s="18"/>
      <c r="BA18" s="18"/>
      <c r="BB18" s="18"/>
      <c r="BC18" s="18"/>
    </row>
    <row r="19" spans="2:55" ht="15.6" x14ac:dyDescent="0.3">
      <c r="B19" s="30"/>
      <c r="C19" s="380" t="str">
        <f>'C1'!K24</f>
        <v>a</v>
      </c>
      <c r="D19" s="381">
        <f>'C1'!N24</f>
        <v>0</v>
      </c>
      <c r="E19" s="154"/>
      <c r="F19" s="154"/>
      <c r="G19" s="154"/>
      <c r="H19" s="154"/>
      <c r="I19" s="154"/>
      <c r="J19" s="154"/>
      <c r="K19" s="154"/>
      <c r="L19" s="154"/>
      <c r="M19" s="154"/>
      <c r="N19" s="154"/>
      <c r="O19" s="480"/>
      <c r="P19" s="247">
        <f>'C1'!W24</f>
        <v>1</v>
      </c>
      <c r="Q19" s="191"/>
      <c r="R19" s="20"/>
      <c r="S19" s="481" t="str">
        <f>'C1'!AL24</f>
        <v>----</v>
      </c>
      <c r="T19" s="216"/>
      <c r="U19" s="216"/>
      <c r="V19" s="19"/>
      <c r="W19" s="19"/>
      <c r="X19" s="19"/>
      <c r="Y19" s="19"/>
      <c r="Z19" s="19"/>
      <c r="AA19" s="19"/>
      <c r="AB19" s="19"/>
      <c r="AC19" s="19"/>
      <c r="AD19" s="19"/>
      <c r="AE19" s="217"/>
      <c r="AI19" s="18" t="str">
        <f>IF(S19&gt;50,"","Verdiepend onderzoek naar "&amp;'C1'!L24)</f>
        <v/>
      </c>
      <c r="AJ19" s="18"/>
      <c r="AK19" s="18"/>
      <c r="AL19" s="18"/>
      <c r="AM19" s="18"/>
      <c r="AN19" s="18"/>
      <c r="AO19" s="18"/>
      <c r="AP19" s="18"/>
      <c r="AQ19" s="18"/>
      <c r="AR19" s="18"/>
      <c r="AS19" s="18"/>
      <c r="AT19" s="18"/>
      <c r="AU19" s="18"/>
      <c r="AV19" s="18"/>
      <c r="AW19" s="18"/>
      <c r="AX19" s="18"/>
      <c r="AY19" s="18"/>
      <c r="AZ19" s="18"/>
      <c r="BA19" s="18"/>
      <c r="BB19" s="18"/>
      <c r="BC19" s="18"/>
    </row>
    <row r="20" spans="2:55" ht="15.6" x14ac:dyDescent="0.3">
      <c r="B20" s="30"/>
      <c r="C20" s="130">
        <f>'C1'!K25</f>
        <v>2</v>
      </c>
      <c r="D20" s="138" t="str">
        <f>'C1'!L25</f>
        <v>Verleng de levensduur van bestaande objecten of componenten</v>
      </c>
      <c r="E20" s="138"/>
      <c r="F20" s="138"/>
      <c r="G20" s="138"/>
      <c r="H20" s="138"/>
      <c r="I20" s="139"/>
      <c r="J20" s="139"/>
      <c r="K20" s="139"/>
      <c r="L20" s="139"/>
      <c r="M20" s="139"/>
      <c r="N20" s="139"/>
      <c r="O20" s="251"/>
      <c r="P20" s="246">
        <f>'C1'!W25</f>
        <v>7.0000000000000007E-2</v>
      </c>
      <c r="Q20" s="158" t="e">
        <f>S21*P21*P20</f>
        <v>#VALUE!</v>
      </c>
      <c r="R20" s="20"/>
      <c r="S20" s="482"/>
      <c r="T20" s="216"/>
      <c r="U20" s="216"/>
      <c r="V20" s="19"/>
      <c r="W20" s="19"/>
      <c r="X20" s="19"/>
      <c r="Y20" s="19"/>
      <c r="Z20" s="19"/>
      <c r="AA20" s="19"/>
      <c r="AB20" s="19"/>
      <c r="AC20" s="19"/>
      <c r="AD20" s="19"/>
      <c r="AE20" s="217"/>
      <c r="AI20" s="18"/>
      <c r="AJ20" s="18"/>
      <c r="AK20" s="18"/>
      <c r="AL20" s="18"/>
      <c r="AM20" s="18"/>
      <c r="AN20" s="18"/>
      <c r="AO20" s="18"/>
      <c r="AP20" s="18"/>
      <c r="AQ20" s="18"/>
      <c r="AR20" s="18"/>
      <c r="AS20" s="18"/>
      <c r="AT20" s="18"/>
      <c r="AU20" s="18"/>
      <c r="AV20" s="18"/>
      <c r="AW20" s="18"/>
      <c r="AX20" s="18"/>
      <c r="AY20" s="18"/>
      <c r="AZ20" s="18"/>
      <c r="BA20" s="18"/>
      <c r="BB20" s="18"/>
      <c r="BC20" s="18"/>
    </row>
    <row r="21" spans="2:55" ht="15.6" x14ac:dyDescent="0.3">
      <c r="B21" s="30"/>
      <c r="C21" s="380" t="str">
        <f>'C1'!K26</f>
        <v>a</v>
      </c>
      <c r="D21" s="382">
        <f>'C1'!N26</f>
        <v>0</v>
      </c>
      <c r="E21" s="383"/>
      <c r="F21" s="383"/>
      <c r="G21" s="383"/>
      <c r="H21" s="383"/>
      <c r="I21" s="383"/>
      <c r="J21" s="383"/>
      <c r="K21" s="383"/>
      <c r="L21" s="383"/>
      <c r="M21" s="383"/>
      <c r="N21" s="383"/>
      <c r="O21" s="483"/>
      <c r="P21" s="247">
        <f>'C1'!W26</f>
        <v>1</v>
      </c>
      <c r="Q21" s="191"/>
      <c r="R21" s="20"/>
      <c r="S21" s="481" t="str">
        <f>'C1'!AL26</f>
        <v>----</v>
      </c>
      <c r="T21" s="216"/>
      <c r="U21" s="216"/>
      <c r="V21" s="19"/>
      <c r="W21" s="19"/>
      <c r="X21" s="19"/>
      <c r="Y21" s="19"/>
      <c r="Z21" s="19"/>
      <c r="AA21" s="19"/>
      <c r="AB21" s="19"/>
      <c r="AC21" s="19"/>
      <c r="AD21" s="19"/>
      <c r="AE21" s="217"/>
      <c r="AI21" s="18" t="str">
        <f>IF(S21&gt;50,"","Verdiepend onderzoek naar "&amp;'C1'!L26)</f>
        <v/>
      </c>
      <c r="AJ21" s="18"/>
      <c r="AK21" s="18"/>
      <c r="AL21" s="18"/>
      <c r="AM21" s="18"/>
      <c r="AN21" s="18"/>
      <c r="AO21" s="18"/>
      <c r="AP21" s="18"/>
      <c r="AQ21" s="18"/>
      <c r="AR21" s="18"/>
      <c r="AS21" s="18"/>
      <c r="AT21" s="18"/>
      <c r="AU21" s="18"/>
      <c r="AV21" s="18"/>
      <c r="AW21" s="18"/>
      <c r="AX21" s="18"/>
      <c r="AY21" s="18"/>
      <c r="AZ21" s="18"/>
      <c r="BA21" s="18"/>
      <c r="BB21" s="18"/>
      <c r="BC21" s="18"/>
    </row>
    <row r="22" spans="2:55" ht="15.6" x14ac:dyDescent="0.3">
      <c r="B22" s="30"/>
      <c r="C22" s="131">
        <f>'C1'!K27</f>
        <v>3</v>
      </c>
      <c r="D22" s="140" t="str">
        <f>'C1'!L27</f>
        <v>Duurzaam gebruik van bestaande objecten, materialen, grondstoffen en natuurlijke processen</v>
      </c>
      <c r="E22" s="140"/>
      <c r="F22" s="140"/>
      <c r="G22" s="140"/>
      <c r="H22" s="140"/>
      <c r="I22" s="140"/>
      <c r="J22" s="140"/>
      <c r="K22" s="140"/>
      <c r="L22" s="141"/>
      <c r="M22" s="141"/>
      <c r="N22" s="141"/>
      <c r="O22" s="252"/>
      <c r="P22" s="246">
        <f>'C1'!W27</f>
        <v>7.0000000000000007E-2</v>
      </c>
      <c r="Q22" s="158" t="e">
        <f>(S23*P23+S24*P24+S25*P25)*P22</f>
        <v>#VALUE!</v>
      </c>
      <c r="R22" s="20"/>
      <c r="S22" s="482"/>
      <c r="T22" s="216"/>
      <c r="U22" s="216"/>
      <c r="V22" s="19"/>
      <c r="W22" s="19"/>
      <c r="X22" s="19"/>
      <c r="Y22" s="19"/>
      <c r="Z22" s="19"/>
      <c r="AA22" s="19"/>
      <c r="AB22" s="19"/>
      <c r="AC22" s="19"/>
      <c r="AD22" s="19"/>
      <c r="AE22" s="217"/>
      <c r="AI22" s="18"/>
      <c r="AJ22" s="18"/>
      <c r="AK22" s="18"/>
      <c r="AL22" s="18"/>
      <c r="AM22" s="18"/>
      <c r="AN22" s="18"/>
      <c r="AO22" s="18"/>
      <c r="AP22" s="18"/>
      <c r="AQ22" s="18"/>
      <c r="AR22" s="18"/>
      <c r="AS22" s="18"/>
      <c r="AT22" s="18"/>
      <c r="AU22" s="18"/>
      <c r="AV22" s="18"/>
      <c r="AW22" s="18"/>
      <c r="AX22" s="18"/>
      <c r="AY22" s="18"/>
      <c r="AZ22" s="18"/>
      <c r="BA22" s="18"/>
      <c r="BB22" s="18"/>
      <c r="BC22" s="18"/>
    </row>
    <row r="23" spans="2:55" ht="15.6" x14ac:dyDescent="0.3">
      <c r="B23" s="30"/>
      <c r="C23" s="380" t="str">
        <f>'C1'!K28</f>
        <v>a</v>
      </c>
      <c r="D23" s="384">
        <f>'C1'!N28</f>
        <v>0</v>
      </c>
      <c r="E23" s="385"/>
      <c r="F23" s="385"/>
      <c r="G23" s="385"/>
      <c r="H23" s="385"/>
      <c r="I23" s="385"/>
      <c r="J23" s="385"/>
      <c r="K23" s="385"/>
      <c r="L23" s="385"/>
      <c r="M23" s="385"/>
      <c r="N23" s="385"/>
      <c r="O23" s="484"/>
      <c r="P23" s="247">
        <f>'C1'!W28</f>
        <v>0.4</v>
      </c>
      <c r="Q23" s="191"/>
      <c r="R23" s="20"/>
      <c r="S23" s="481" t="str">
        <f>'C1'!AL28</f>
        <v>----</v>
      </c>
      <c r="T23" s="216"/>
      <c r="U23" s="216"/>
      <c r="V23" s="19"/>
      <c r="W23" s="19"/>
      <c r="X23" s="19"/>
      <c r="Y23" s="19"/>
      <c r="Z23" s="19"/>
      <c r="AA23" s="19"/>
      <c r="AB23" s="19"/>
      <c r="AC23" s="19"/>
      <c r="AD23" s="19"/>
      <c r="AE23" s="217"/>
      <c r="AI23" s="18" t="str">
        <f>IF(S23&gt;50,"","Verdiepend onderzoek naar "&amp;'C1'!L28)</f>
        <v/>
      </c>
      <c r="AJ23" s="18"/>
      <c r="AK23" s="18"/>
      <c r="AL23" s="18"/>
      <c r="AM23" s="18"/>
      <c r="AN23" s="18"/>
      <c r="AO23" s="18"/>
      <c r="AP23" s="18"/>
      <c r="AQ23" s="18"/>
      <c r="AR23" s="18"/>
      <c r="AS23" s="18"/>
      <c r="AT23" s="18"/>
      <c r="AU23" s="18"/>
      <c r="AV23" s="18"/>
      <c r="AW23" s="18"/>
      <c r="AX23" s="18"/>
      <c r="AY23" s="18"/>
      <c r="AZ23" s="18"/>
      <c r="BA23" s="18"/>
      <c r="BB23" s="18"/>
      <c r="BC23" s="18"/>
    </row>
    <row r="24" spans="2:55" ht="15.6" x14ac:dyDescent="0.3">
      <c r="B24" s="30"/>
      <c r="C24" s="380" t="str">
        <f>'C1'!K29</f>
        <v>b</v>
      </c>
      <c r="D24" s="384">
        <f>'C1'!N29</f>
        <v>0</v>
      </c>
      <c r="E24" s="385"/>
      <c r="F24" s="385"/>
      <c r="G24" s="385"/>
      <c r="H24" s="385"/>
      <c r="I24" s="385"/>
      <c r="J24" s="385"/>
      <c r="K24" s="385"/>
      <c r="L24" s="385"/>
      <c r="M24" s="385"/>
      <c r="N24" s="385"/>
      <c r="O24" s="484"/>
      <c r="P24" s="247">
        <f>'C1'!W29</f>
        <v>0.4</v>
      </c>
      <c r="Q24" s="191"/>
      <c r="R24" s="20"/>
      <c r="S24" s="481" t="str">
        <f>'C1'!AL29</f>
        <v>----</v>
      </c>
      <c r="T24" s="216"/>
      <c r="U24" s="216"/>
      <c r="V24" s="19"/>
      <c r="W24" s="19"/>
      <c r="X24" s="19"/>
      <c r="Y24" s="19"/>
      <c r="Z24" s="19"/>
      <c r="AA24" s="19"/>
      <c r="AB24" s="19"/>
      <c r="AC24" s="19"/>
      <c r="AD24" s="19"/>
      <c r="AE24" s="217"/>
      <c r="AI24" s="18" t="str">
        <f>IF(S24&gt;50,"","Verdiepend onderzoek naar "&amp;'C1'!L29)</f>
        <v/>
      </c>
      <c r="AJ24" s="18"/>
      <c r="AK24" s="18"/>
      <c r="AL24" s="18"/>
      <c r="AM24" s="18"/>
      <c r="AN24" s="18"/>
      <c r="AO24" s="18"/>
      <c r="AP24" s="18"/>
      <c r="AQ24" s="18"/>
      <c r="AR24" s="18"/>
      <c r="AS24" s="18"/>
      <c r="AT24" s="18"/>
      <c r="AU24" s="18"/>
      <c r="AV24" s="18"/>
      <c r="AW24" s="18"/>
      <c r="AX24" s="18"/>
      <c r="AY24" s="18"/>
      <c r="AZ24" s="18"/>
      <c r="BA24" s="18"/>
      <c r="BB24" s="18"/>
      <c r="BC24" s="18"/>
    </row>
    <row r="25" spans="2:55" ht="15.6" x14ac:dyDescent="0.3">
      <c r="B25" s="30"/>
      <c r="C25" s="380" t="str">
        <f>'C1'!K30</f>
        <v>c</v>
      </c>
      <c r="D25" s="384">
        <f>'C1'!N30</f>
        <v>0</v>
      </c>
      <c r="E25" s="385"/>
      <c r="F25" s="385"/>
      <c r="G25" s="385"/>
      <c r="H25" s="385"/>
      <c r="I25" s="385"/>
      <c r="J25" s="385"/>
      <c r="K25" s="385"/>
      <c r="L25" s="385"/>
      <c r="M25" s="385"/>
      <c r="N25" s="385"/>
      <c r="O25" s="484"/>
      <c r="P25" s="247">
        <f>'C1'!W30</f>
        <v>0.2</v>
      </c>
      <c r="Q25" s="191"/>
      <c r="R25" s="20"/>
      <c r="S25" s="481" t="str">
        <f>'C1'!AL30</f>
        <v>----</v>
      </c>
      <c r="T25" s="216"/>
      <c r="U25" s="216"/>
      <c r="V25" s="19"/>
      <c r="W25" s="19"/>
      <c r="X25" s="19"/>
      <c r="Y25" s="19"/>
      <c r="Z25" s="19"/>
      <c r="AA25" s="19"/>
      <c r="AB25" s="19"/>
      <c r="AC25" s="19"/>
      <c r="AD25" s="19"/>
      <c r="AE25" s="217"/>
      <c r="AI25" s="18" t="str">
        <f>IF(S25&gt;50,"","Verdiepend onderzoek naar "&amp;'C1'!L30)</f>
        <v/>
      </c>
      <c r="AJ25" s="18"/>
      <c r="AK25" s="18"/>
      <c r="AL25" s="18"/>
      <c r="AM25" s="18"/>
      <c r="AN25" s="18"/>
      <c r="AO25" s="18"/>
      <c r="AP25" s="18"/>
      <c r="AQ25" s="18"/>
      <c r="AR25" s="18"/>
      <c r="AS25" s="18"/>
      <c r="AT25" s="18"/>
      <c r="AU25" s="18"/>
      <c r="AV25" s="18"/>
      <c r="AW25" s="18"/>
      <c r="AX25" s="18"/>
      <c r="AY25" s="18"/>
      <c r="AZ25" s="18"/>
      <c r="BA25" s="18"/>
      <c r="BB25" s="18"/>
      <c r="BC25" s="18"/>
    </row>
    <row r="26" spans="2:55" ht="15.6" x14ac:dyDescent="0.3">
      <c r="B26" s="30"/>
      <c r="C26" s="162">
        <f>'C1'!K31</f>
        <v>4</v>
      </c>
      <c r="D26" s="163" t="str">
        <f>'C1'!L31</f>
        <v>Ontwerp voor meerdere levenscycli</v>
      </c>
      <c r="E26" s="142"/>
      <c r="F26" s="142"/>
      <c r="G26" s="143"/>
      <c r="H26" s="143"/>
      <c r="I26" s="143"/>
      <c r="J26" s="143"/>
      <c r="K26" s="143"/>
      <c r="L26" s="143"/>
      <c r="M26" s="143"/>
      <c r="N26" s="143"/>
      <c r="O26" s="253"/>
      <c r="P26" s="246">
        <f>'C1'!W31</f>
        <v>7.0000000000000007E-2</v>
      </c>
      <c r="Q26" s="158" t="e">
        <f>(S27*P27+S28*P28)*P26</f>
        <v>#VALUE!</v>
      </c>
      <c r="R26" s="20"/>
      <c r="S26" s="482"/>
      <c r="T26" s="216"/>
      <c r="U26" s="216"/>
      <c r="V26" s="19"/>
      <c r="W26" s="19"/>
      <c r="X26" s="19"/>
      <c r="Y26" s="19"/>
      <c r="Z26" s="19"/>
      <c r="AA26" s="19"/>
      <c r="AB26" s="19"/>
      <c r="AC26" s="19"/>
      <c r="AD26" s="19"/>
      <c r="AE26" s="217"/>
      <c r="AI26" s="18"/>
      <c r="AJ26" s="18"/>
      <c r="AK26" s="18"/>
      <c r="AL26" s="18"/>
      <c r="AM26" s="18"/>
      <c r="AN26" s="18"/>
      <c r="AO26" s="18"/>
      <c r="AP26" s="18"/>
      <c r="AQ26" s="18"/>
      <c r="AR26" s="18"/>
      <c r="AS26" s="18"/>
      <c r="AT26" s="18"/>
      <c r="AU26" s="18"/>
      <c r="AV26" s="18"/>
      <c r="AW26" s="18"/>
      <c r="AX26" s="18"/>
      <c r="AY26" s="18"/>
      <c r="AZ26" s="18"/>
      <c r="BA26" s="18"/>
      <c r="BB26" s="18"/>
      <c r="BC26" s="18"/>
    </row>
    <row r="27" spans="2:55" ht="15.6" x14ac:dyDescent="0.3">
      <c r="B27" s="30"/>
      <c r="C27" s="380" t="str">
        <f>'C1'!K32</f>
        <v>a</v>
      </c>
      <c r="D27" s="386">
        <f>'C1'!N32</f>
        <v>0</v>
      </c>
      <c r="E27" s="387"/>
      <c r="F27" s="387"/>
      <c r="G27" s="387"/>
      <c r="H27" s="387"/>
      <c r="I27" s="387"/>
      <c r="J27" s="387"/>
      <c r="K27" s="387"/>
      <c r="L27" s="387"/>
      <c r="M27" s="387"/>
      <c r="N27" s="387"/>
      <c r="O27" s="485"/>
      <c r="P27" s="247">
        <f>'C1'!W32</f>
        <v>0.9</v>
      </c>
      <c r="Q27" s="191"/>
      <c r="R27" s="20"/>
      <c r="S27" s="481" t="str">
        <f>'C1'!AL32</f>
        <v>----</v>
      </c>
      <c r="T27" s="216"/>
      <c r="U27" s="216"/>
      <c r="V27" s="19"/>
      <c r="W27" s="19"/>
      <c r="X27" s="19"/>
      <c r="Y27" s="19"/>
      <c r="Z27" s="19"/>
      <c r="AA27" s="19"/>
      <c r="AB27" s="19"/>
      <c r="AC27" s="19"/>
      <c r="AD27" s="19"/>
      <c r="AE27" s="217"/>
      <c r="AI27" s="18" t="str">
        <f>IF(S27&gt;50,"","Verdiepend onderzoek naar "&amp;'C1'!L32)</f>
        <v/>
      </c>
      <c r="AJ27" s="18"/>
      <c r="AK27" s="18"/>
      <c r="AL27" s="18"/>
      <c r="AM27" s="18"/>
      <c r="AN27" s="18"/>
      <c r="AO27" s="18"/>
      <c r="AP27" s="18"/>
      <c r="AQ27" s="18"/>
      <c r="AR27" s="18"/>
      <c r="AS27" s="18"/>
      <c r="AT27" s="18"/>
      <c r="AU27" s="18"/>
      <c r="AV27" s="18"/>
      <c r="AW27" s="18"/>
      <c r="AX27" s="18"/>
      <c r="AY27" s="18"/>
      <c r="AZ27" s="18"/>
      <c r="BA27" s="18"/>
      <c r="BB27" s="18"/>
      <c r="BC27" s="18"/>
    </row>
    <row r="28" spans="2:55" ht="15.6" x14ac:dyDescent="0.3">
      <c r="B28" s="30"/>
      <c r="C28" s="380" t="str">
        <f>'C1'!K33</f>
        <v>b</v>
      </c>
      <c r="D28" s="386">
        <f>'C1'!N33</f>
        <v>0</v>
      </c>
      <c r="E28" s="387"/>
      <c r="F28" s="387"/>
      <c r="G28" s="387"/>
      <c r="H28" s="387"/>
      <c r="I28" s="387"/>
      <c r="J28" s="387"/>
      <c r="K28" s="387"/>
      <c r="L28" s="387"/>
      <c r="M28" s="387"/>
      <c r="N28" s="387"/>
      <c r="O28" s="485"/>
      <c r="P28" s="247">
        <f>'C1'!W33</f>
        <v>0.1</v>
      </c>
      <c r="Q28" s="191"/>
      <c r="R28" s="20"/>
      <c r="S28" s="481" t="str">
        <f>'C1'!AL33</f>
        <v>----</v>
      </c>
      <c r="T28" s="216"/>
      <c r="U28" s="216"/>
      <c r="V28" s="19"/>
      <c r="W28" s="19"/>
      <c r="X28" s="19"/>
      <c r="Y28" s="19"/>
      <c r="Z28" s="19"/>
      <c r="AA28" s="19"/>
      <c r="AB28" s="19"/>
      <c r="AC28" s="19"/>
      <c r="AD28" s="19"/>
      <c r="AE28" s="217"/>
      <c r="AI28" s="18" t="str">
        <f>IF(S28&gt;50,"","Verdiepend onderzoek naar "&amp;'C1'!L33)</f>
        <v/>
      </c>
      <c r="AJ28" s="18"/>
      <c r="AK28" s="18"/>
      <c r="AL28" s="18"/>
      <c r="AM28" s="18"/>
      <c r="AN28" s="18"/>
      <c r="AO28" s="18"/>
      <c r="AP28" s="18"/>
      <c r="AQ28" s="18"/>
      <c r="AR28" s="18"/>
      <c r="AS28" s="18"/>
      <c r="AT28" s="18"/>
      <c r="AU28" s="18"/>
      <c r="AV28" s="18"/>
      <c r="AW28" s="18"/>
      <c r="AX28" s="18"/>
      <c r="AY28" s="18"/>
      <c r="AZ28" s="18"/>
      <c r="BA28" s="18"/>
      <c r="BB28" s="18"/>
      <c r="BC28" s="18"/>
    </row>
    <row r="29" spans="2:55" ht="15.6" x14ac:dyDescent="0.3">
      <c r="B29" s="30"/>
      <c r="C29" s="132">
        <f>'C1'!K34</f>
        <v>5</v>
      </c>
      <c r="D29" s="144" t="str">
        <f>'C1'!L34</f>
        <v>Ontwerp toekomstbestendig</v>
      </c>
      <c r="E29" s="144"/>
      <c r="F29" s="145"/>
      <c r="G29" s="145"/>
      <c r="H29" s="145"/>
      <c r="I29" s="145"/>
      <c r="J29" s="145"/>
      <c r="K29" s="145"/>
      <c r="L29" s="145"/>
      <c r="M29" s="145"/>
      <c r="N29" s="145"/>
      <c r="O29" s="254"/>
      <c r="P29" s="246">
        <f>'C1'!W34</f>
        <v>0.1</v>
      </c>
      <c r="Q29" s="158" t="e">
        <f>P29*P30*S30</f>
        <v>#VALUE!</v>
      </c>
      <c r="R29" s="20"/>
      <c r="S29" s="482"/>
      <c r="T29" s="216"/>
      <c r="U29" s="216"/>
      <c r="V29" s="19"/>
      <c r="W29" s="19"/>
      <c r="X29" s="19"/>
      <c r="Y29" s="19"/>
      <c r="Z29" s="19"/>
      <c r="AA29" s="19"/>
      <c r="AB29" s="19"/>
      <c r="AC29" s="19"/>
      <c r="AD29" s="19"/>
      <c r="AE29" s="217"/>
      <c r="AI29" s="18"/>
      <c r="AJ29" s="18"/>
      <c r="AK29" s="18"/>
      <c r="AL29" s="18"/>
      <c r="AM29" s="18"/>
      <c r="AN29" s="18"/>
      <c r="AO29" s="18"/>
      <c r="AP29" s="18"/>
      <c r="AQ29" s="18"/>
      <c r="AR29" s="18"/>
      <c r="AS29" s="18"/>
      <c r="AT29" s="18"/>
      <c r="AU29" s="18"/>
      <c r="AV29" s="18"/>
      <c r="AW29" s="18"/>
      <c r="AX29" s="18"/>
      <c r="AY29" s="18"/>
      <c r="AZ29" s="18"/>
      <c r="BA29" s="18"/>
      <c r="BB29" s="18"/>
      <c r="BC29" s="18"/>
    </row>
    <row r="30" spans="2:55" ht="15.6" x14ac:dyDescent="0.3">
      <c r="B30" s="30"/>
      <c r="C30" s="380" t="str">
        <f>'C1'!K35</f>
        <v>a</v>
      </c>
      <c r="D30" s="388">
        <f>'C1'!N35</f>
        <v>0</v>
      </c>
      <c r="E30" s="19"/>
      <c r="F30" s="19"/>
      <c r="G30" s="19"/>
      <c r="H30" s="19"/>
      <c r="I30" s="19"/>
      <c r="J30" s="19"/>
      <c r="K30" s="19"/>
      <c r="L30" s="19"/>
      <c r="M30" s="19"/>
      <c r="N30" s="19"/>
      <c r="O30" s="486"/>
      <c r="P30" s="247">
        <f>'C1'!W35</f>
        <v>1</v>
      </c>
      <c r="Q30" s="191"/>
      <c r="R30" s="20"/>
      <c r="S30" s="481" t="str">
        <f>'C1'!AL35</f>
        <v>----</v>
      </c>
      <c r="T30" s="216"/>
      <c r="U30" s="216"/>
      <c r="V30" s="19"/>
      <c r="W30" s="19"/>
      <c r="X30" s="19"/>
      <c r="Y30" s="19"/>
      <c r="Z30" s="19"/>
      <c r="AA30" s="19"/>
      <c r="AB30" s="19"/>
      <c r="AC30" s="19"/>
      <c r="AD30" s="19"/>
      <c r="AE30" s="217"/>
      <c r="AI30" s="18" t="str">
        <f>IF(S30&gt;50,"","Verdiepend onderzoek naar "&amp;'C1'!L35)</f>
        <v/>
      </c>
      <c r="AJ30" s="18"/>
      <c r="AK30" s="18"/>
      <c r="AL30" s="18"/>
      <c r="AM30" s="18"/>
      <c r="AN30" s="18"/>
      <c r="AO30" s="18"/>
      <c r="AP30" s="18"/>
      <c r="AQ30" s="18"/>
      <c r="AR30" s="18"/>
      <c r="AS30" s="18"/>
      <c r="AT30" s="18"/>
      <c r="AU30" s="18"/>
      <c r="AV30" s="18"/>
      <c r="AW30" s="18"/>
      <c r="AX30" s="18"/>
      <c r="AY30" s="18"/>
      <c r="AZ30" s="18"/>
      <c r="BA30" s="18"/>
      <c r="BB30" s="18"/>
      <c r="BC30" s="18"/>
    </row>
    <row r="31" spans="2:55" ht="15.6" x14ac:dyDescent="0.3">
      <c r="B31" s="30"/>
      <c r="C31" s="133">
        <f>'C1'!K36</f>
        <v>6</v>
      </c>
      <c r="D31" s="146" t="str">
        <f>'C1'!L36</f>
        <v xml:space="preserve">Ontwerp voor optimaal beheer en onderhoud </v>
      </c>
      <c r="E31" s="146"/>
      <c r="F31" s="146"/>
      <c r="G31" s="146"/>
      <c r="H31" s="147"/>
      <c r="I31" s="147"/>
      <c r="J31" s="147"/>
      <c r="K31" s="147"/>
      <c r="L31" s="147"/>
      <c r="M31" s="147"/>
      <c r="N31" s="147"/>
      <c r="O31" s="255"/>
      <c r="P31" s="246">
        <f>'C1'!W36</f>
        <v>7.0000000000000007E-2</v>
      </c>
      <c r="Q31" s="158" t="e">
        <f>P31*P32*S32</f>
        <v>#VALUE!</v>
      </c>
      <c r="R31" s="20"/>
      <c r="S31" s="482"/>
      <c r="T31" s="216"/>
      <c r="U31" s="216"/>
      <c r="V31" s="19"/>
      <c r="W31" s="19"/>
      <c r="X31" s="19"/>
      <c r="Y31" s="19"/>
      <c r="Z31" s="19"/>
      <c r="AA31" s="19"/>
      <c r="AB31" s="19"/>
      <c r="AC31" s="19"/>
      <c r="AD31" s="19"/>
      <c r="AE31" s="217"/>
      <c r="AI31" s="18"/>
      <c r="AJ31" s="18"/>
      <c r="AK31" s="18"/>
      <c r="AL31" s="18"/>
      <c r="AM31" s="18"/>
      <c r="AN31" s="18"/>
      <c r="AO31" s="18"/>
      <c r="AP31" s="18"/>
      <c r="AQ31" s="18"/>
      <c r="AR31" s="18"/>
      <c r="AS31" s="18"/>
      <c r="AT31" s="18"/>
      <c r="AU31" s="18"/>
      <c r="AV31" s="18"/>
      <c r="AW31" s="18"/>
      <c r="AX31" s="18"/>
      <c r="AY31" s="18"/>
      <c r="AZ31" s="18"/>
      <c r="BA31" s="18"/>
      <c r="BB31" s="18"/>
      <c r="BC31" s="18"/>
    </row>
    <row r="32" spans="2:55" ht="15.6" x14ac:dyDescent="0.3">
      <c r="B32" s="30"/>
      <c r="C32" s="380" t="str">
        <f>'C1'!K37</f>
        <v>a</v>
      </c>
      <c r="D32" s="649">
        <f>'C1'!N37</f>
        <v>0</v>
      </c>
      <c r="E32" s="650"/>
      <c r="F32" s="650"/>
      <c r="G32" s="650"/>
      <c r="H32" s="650"/>
      <c r="I32" s="650"/>
      <c r="J32" s="650"/>
      <c r="K32" s="650"/>
      <c r="L32" s="650"/>
      <c r="M32" s="650"/>
      <c r="N32" s="650"/>
      <c r="O32" s="651"/>
      <c r="P32" s="247">
        <f>'C1'!W37</f>
        <v>1</v>
      </c>
      <c r="Q32" s="191"/>
      <c r="R32" s="20"/>
      <c r="S32" s="481" t="str">
        <f>'C1'!AL37</f>
        <v>----</v>
      </c>
      <c r="T32" s="216"/>
      <c r="U32" s="216"/>
      <c r="V32" s="19"/>
      <c r="W32" s="19"/>
      <c r="X32" s="19"/>
      <c r="Y32" s="19"/>
      <c r="Z32" s="19"/>
      <c r="AA32" s="19"/>
      <c r="AB32" s="19"/>
      <c r="AC32" s="19"/>
      <c r="AD32" s="19"/>
      <c r="AE32" s="217"/>
      <c r="AI32" s="18" t="str">
        <f>IF(S32&gt;50,"","Verdiepend onderzoek naar "&amp;'C1'!L37)</f>
        <v/>
      </c>
      <c r="AJ32" s="18"/>
      <c r="AK32" s="18"/>
      <c r="AL32" s="18"/>
      <c r="AM32" s="18"/>
      <c r="AN32" s="18"/>
      <c r="AO32" s="18"/>
      <c r="AP32" s="18"/>
      <c r="AQ32" s="18"/>
      <c r="AR32" s="18"/>
      <c r="AS32" s="18"/>
      <c r="AT32" s="18"/>
      <c r="AU32" s="18"/>
      <c r="AV32" s="18"/>
      <c r="AW32" s="18"/>
      <c r="AX32" s="18"/>
      <c r="AY32" s="18"/>
      <c r="AZ32" s="18"/>
      <c r="BA32" s="18"/>
      <c r="BB32" s="18"/>
      <c r="BC32" s="18"/>
    </row>
    <row r="33" spans="2:55" ht="15.6" x14ac:dyDescent="0.3">
      <c r="B33" s="30"/>
      <c r="C33" s="134">
        <f>'C1'!K38</f>
        <v>7</v>
      </c>
      <c r="D33" s="148" t="str">
        <f>'C1'!L38</f>
        <v>Duurzaam materiaalgebruik (hoeveel x milieubelasting)</v>
      </c>
      <c r="E33" s="148"/>
      <c r="F33" s="148"/>
      <c r="G33" s="148"/>
      <c r="H33" s="149"/>
      <c r="I33" s="149"/>
      <c r="J33" s="149"/>
      <c r="K33" s="149"/>
      <c r="L33" s="149"/>
      <c r="M33" s="149"/>
      <c r="N33" s="149"/>
      <c r="O33" s="256"/>
      <c r="P33" s="246">
        <f>'C1'!W38</f>
        <v>0.25</v>
      </c>
      <c r="Q33" s="158" t="e">
        <f>(S34*P34+S35*P35)*P33</f>
        <v>#VALUE!</v>
      </c>
      <c r="R33" s="20"/>
      <c r="S33" s="482"/>
      <c r="T33" s="216"/>
      <c r="U33" s="216"/>
      <c r="V33" s="19"/>
      <c r="W33" s="19"/>
      <c r="X33" s="19"/>
      <c r="Y33" s="19"/>
      <c r="Z33" s="19"/>
      <c r="AA33" s="19"/>
      <c r="AB33" s="19"/>
      <c r="AC33" s="19"/>
      <c r="AD33" s="19"/>
      <c r="AE33" s="217"/>
      <c r="AI33" s="18"/>
      <c r="AJ33" s="18"/>
      <c r="AK33" s="18"/>
      <c r="AL33" s="18"/>
      <c r="AM33" s="18"/>
      <c r="AN33" s="18"/>
      <c r="AO33" s="18"/>
      <c r="AP33" s="18"/>
      <c r="AQ33" s="18"/>
      <c r="AR33" s="18"/>
      <c r="AS33" s="18"/>
      <c r="AT33" s="18"/>
      <c r="AU33" s="18"/>
      <c r="AV33" s="18"/>
      <c r="AW33" s="18"/>
      <c r="AX33" s="18"/>
      <c r="AY33" s="18"/>
      <c r="AZ33" s="18"/>
      <c r="BA33" s="18"/>
      <c r="BB33" s="18"/>
      <c r="BC33" s="18"/>
    </row>
    <row r="34" spans="2:55" ht="15.6" x14ac:dyDescent="0.3">
      <c r="B34" s="30"/>
      <c r="C34" s="380" t="str">
        <f>'C1'!K39</f>
        <v>a</v>
      </c>
      <c r="D34" s="389">
        <f>'C1'!N39</f>
        <v>0</v>
      </c>
      <c r="E34" s="390"/>
      <c r="F34" s="390"/>
      <c r="G34" s="390"/>
      <c r="H34" s="390"/>
      <c r="I34" s="390"/>
      <c r="J34" s="390"/>
      <c r="K34" s="390"/>
      <c r="L34" s="390"/>
      <c r="M34" s="390"/>
      <c r="N34" s="390"/>
      <c r="O34" s="487"/>
      <c r="P34" s="247">
        <f>'C1'!W39</f>
        <v>0.8</v>
      </c>
      <c r="Q34" s="191"/>
      <c r="R34" s="20"/>
      <c r="S34" s="481" t="str">
        <f>'C1'!AL39</f>
        <v>----</v>
      </c>
      <c r="T34" s="216"/>
      <c r="U34" s="216"/>
      <c r="V34" s="19"/>
      <c r="W34" s="19"/>
      <c r="X34" s="19"/>
      <c r="Y34" s="19"/>
      <c r="Z34" s="19"/>
      <c r="AA34" s="19"/>
      <c r="AB34" s="19"/>
      <c r="AC34" s="19"/>
      <c r="AD34" s="19"/>
      <c r="AE34" s="217"/>
      <c r="AI34" s="18" t="str">
        <f>IF(S34&gt;50,"","Verdiepend onderzoek naar "&amp;'C1'!L39)</f>
        <v/>
      </c>
      <c r="AJ34" s="18"/>
      <c r="AK34" s="18"/>
      <c r="AL34" s="18"/>
      <c r="AM34" s="18"/>
      <c r="AN34" s="18"/>
      <c r="AO34" s="18"/>
      <c r="AP34" s="18"/>
      <c r="AQ34" s="18"/>
      <c r="AR34" s="18"/>
      <c r="AS34" s="18"/>
      <c r="AT34" s="18"/>
      <c r="AU34" s="18"/>
      <c r="AV34" s="18"/>
      <c r="AW34" s="18"/>
      <c r="AX34" s="18"/>
      <c r="AY34" s="18"/>
      <c r="AZ34" s="18"/>
      <c r="BA34" s="18"/>
      <c r="BB34" s="18"/>
      <c r="BC34" s="18"/>
    </row>
    <row r="35" spans="2:55" ht="15.6" x14ac:dyDescent="0.3">
      <c r="B35" s="30"/>
      <c r="C35" s="380" t="str">
        <f>'C1'!K40</f>
        <v>b</v>
      </c>
      <c r="D35" s="389">
        <f>'C1'!N40</f>
        <v>0</v>
      </c>
      <c r="E35" s="390"/>
      <c r="F35" s="390"/>
      <c r="G35" s="390"/>
      <c r="H35" s="390"/>
      <c r="I35" s="390"/>
      <c r="J35" s="390"/>
      <c r="K35" s="390"/>
      <c r="L35" s="390"/>
      <c r="M35" s="390"/>
      <c r="N35" s="390"/>
      <c r="O35" s="487"/>
      <c r="P35" s="247">
        <f>'C1'!W40</f>
        <v>0.19999999999999996</v>
      </c>
      <c r="Q35" s="191"/>
      <c r="R35" s="20"/>
      <c r="S35" s="481" t="str">
        <f>'C1'!AL40</f>
        <v>----</v>
      </c>
      <c r="T35" s="216"/>
      <c r="U35" s="216"/>
      <c r="V35" s="19"/>
      <c r="W35" s="19"/>
      <c r="X35" s="19"/>
      <c r="Y35" s="19"/>
      <c r="Z35" s="19"/>
      <c r="AA35" s="19"/>
      <c r="AB35" s="19"/>
      <c r="AC35" s="19"/>
      <c r="AD35" s="19"/>
      <c r="AE35" s="217"/>
      <c r="AI35" s="18" t="str">
        <f>IF(S35&gt;50,"","Verdiepend onderzoek naar "&amp;'C1'!L40)</f>
        <v/>
      </c>
      <c r="AJ35" s="18"/>
      <c r="AK35" s="18"/>
      <c r="AL35" s="18"/>
      <c r="AM35" s="18"/>
      <c r="AN35" s="18"/>
      <c r="AO35" s="18"/>
      <c r="AP35" s="18"/>
      <c r="AQ35" s="18"/>
      <c r="AR35" s="18"/>
      <c r="AS35" s="18"/>
      <c r="AT35" s="18"/>
      <c r="AU35" s="18"/>
      <c r="AV35" s="18"/>
      <c r="AW35" s="18"/>
      <c r="AX35" s="18"/>
      <c r="AY35" s="18"/>
      <c r="AZ35" s="18"/>
      <c r="BA35" s="18"/>
      <c r="BB35" s="18"/>
      <c r="BC35" s="18"/>
    </row>
    <row r="36" spans="2:55" ht="15.6" x14ac:dyDescent="0.3">
      <c r="B36" s="30"/>
      <c r="C36" s="135">
        <f>'C1'!K41</f>
        <v>8</v>
      </c>
      <c r="D36" s="150" t="str">
        <f>'C1'!L41</f>
        <v>Ontwerp voor minimaal grondstof- en energiegebruik in de aanleg/gebruiksfase</v>
      </c>
      <c r="E36" s="150"/>
      <c r="F36" s="150"/>
      <c r="G36" s="150"/>
      <c r="H36" s="150"/>
      <c r="I36" s="150"/>
      <c r="J36" s="150"/>
      <c r="K36" s="151"/>
      <c r="L36" s="151"/>
      <c r="M36" s="151"/>
      <c r="N36" s="151"/>
      <c r="O36" s="257"/>
      <c r="P36" s="246">
        <f>'C1'!W41</f>
        <v>0.1</v>
      </c>
      <c r="Q36" s="158" t="e">
        <f>P36*P37*S37</f>
        <v>#VALUE!</v>
      </c>
      <c r="R36" s="20"/>
      <c r="S36" s="482"/>
      <c r="T36" s="216"/>
      <c r="U36" s="216"/>
      <c r="V36" s="19"/>
      <c r="W36" s="19"/>
      <c r="X36" s="19"/>
      <c r="Y36" s="19"/>
      <c r="Z36" s="19"/>
      <c r="AA36" s="19"/>
      <c r="AB36" s="19"/>
      <c r="AC36" s="19"/>
      <c r="AD36" s="19"/>
      <c r="AE36" s="217"/>
      <c r="AI36" s="18"/>
      <c r="AJ36" s="18"/>
      <c r="AK36" s="18"/>
      <c r="AL36" s="18"/>
      <c r="AM36" s="18"/>
      <c r="AN36" s="18"/>
      <c r="AO36" s="18"/>
      <c r="AP36" s="18"/>
      <c r="AQ36" s="18"/>
      <c r="AR36" s="18"/>
      <c r="AS36" s="18"/>
      <c r="AT36" s="18"/>
      <c r="AU36" s="18"/>
      <c r="AV36" s="18"/>
      <c r="AW36" s="18"/>
      <c r="AX36" s="18"/>
      <c r="AY36" s="18"/>
      <c r="AZ36" s="18"/>
      <c r="BA36" s="18"/>
      <c r="BB36" s="18"/>
      <c r="BC36" s="18"/>
    </row>
    <row r="37" spans="2:55" ht="16.2" thickBot="1" x14ac:dyDescent="0.35">
      <c r="B37" s="30"/>
      <c r="C37" s="391" t="str">
        <f>'C1'!K42</f>
        <v>a</v>
      </c>
      <c r="D37" s="394">
        <f>'C1'!N42</f>
        <v>0</v>
      </c>
      <c r="E37" s="392"/>
      <c r="F37" s="392"/>
      <c r="G37" s="392"/>
      <c r="H37" s="392"/>
      <c r="I37" s="392"/>
      <c r="J37" s="392"/>
      <c r="K37" s="392"/>
      <c r="L37" s="392"/>
      <c r="M37" s="392"/>
      <c r="N37" s="392"/>
      <c r="O37" s="393"/>
      <c r="P37" s="248">
        <f>'C1'!W42</f>
        <v>1</v>
      </c>
      <c r="Q37" s="192"/>
      <c r="R37" s="20"/>
      <c r="S37" s="481" t="str">
        <f>'C1'!AL42</f>
        <v>----</v>
      </c>
      <c r="T37" s="216" t="str">
        <f>IF(S37&lt;75,'info weging'!I157,"")</f>
        <v/>
      </c>
      <c r="U37" s="216"/>
      <c r="V37" s="19"/>
      <c r="W37" s="19"/>
      <c r="X37" s="19"/>
      <c r="Y37" s="19"/>
      <c r="Z37" s="19"/>
      <c r="AA37" s="19"/>
      <c r="AB37" s="19"/>
      <c r="AC37" s="19"/>
      <c r="AD37" s="19"/>
      <c r="AE37" s="217"/>
      <c r="AI37" s="18" t="str">
        <f>IF(S37&gt;50,"","Verdiepend onderzoek naar "&amp;'C1'!L42)</f>
        <v/>
      </c>
      <c r="AJ37" s="18"/>
      <c r="AK37" s="18"/>
      <c r="AL37" s="18"/>
      <c r="AM37" s="18"/>
      <c r="AN37" s="18"/>
      <c r="AO37" s="18"/>
      <c r="AP37" s="18"/>
      <c r="AQ37" s="18"/>
      <c r="AR37" s="18"/>
      <c r="AS37" s="18"/>
      <c r="AT37" s="18"/>
      <c r="AU37" s="18"/>
      <c r="AV37" s="18"/>
      <c r="AW37" s="18"/>
      <c r="AX37" s="18"/>
      <c r="AY37" s="18"/>
      <c r="AZ37" s="18"/>
      <c r="BA37" s="18"/>
      <c r="BB37" s="18"/>
      <c r="BC37" s="18"/>
    </row>
    <row r="38" spans="2:55" ht="16.2" thickBot="1" x14ac:dyDescent="0.35">
      <c r="B38" s="30"/>
      <c r="C38" s="193" t="s">
        <v>143</v>
      </c>
      <c r="D38" s="194"/>
      <c r="E38" s="194"/>
      <c r="F38" s="194"/>
      <c r="G38" s="194"/>
      <c r="H38" s="194"/>
      <c r="I38" s="194"/>
      <c r="J38" s="194"/>
      <c r="K38" s="194"/>
      <c r="L38" s="194"/>
      <c r="M38" s="194"/>
      <c r="N38" s="194"/>
      <c r="O38" s="258"/>
      <c r="P38" s="249">
        <v>1</v>
      </c>
      <c r="Q38" s="195" t="e">
        <f>SUM(Q18:Q37)</f>
        <v>#VALUE!</v>
      </c>
      <c r="R38" s="20"/>
      <c r="S38" s="488"/>
      <c r="T38" s="216"/>
      <c r="U38" s="216"/>
      <c r="V38" s="19"/>
      <c r="W38" s="19"/>
      <c r="X38" s="19"/>
      <c r="Y38" s="19"/>
      <c r="Z38" s="19"/>
      <c r="AA38" s="19"/>
      <c r="AB38" s="19"/>
      <c r="AC38" s="19"/>
      <c r="AD38" s="19"/>
      <c r="AE38" s="217"/>
      <c r="AI38" s="18"/>
      <c r="AJ38" s="18"/>
      <c r="AK38" s="18"/>
      <c r="AL38" s="18"/>
      <c r="AM38" s="18"/>
      <c r="AN38" s="18"/>
      <c r="AO38" s="18"/>
      <c r="AP38" s="18"/>
      <c r="AQ38" s="18"/>
      <c r="AR38" s="18"/>
      <c r="AS38" s="18"/>
      <c r="AT38" s="18"/>
      <c r="AU38" s="18"/>
      <c r="AV38" s="18"/>
      <c r="AW38" s="18"/>
      <c r="AX38" s="18"/>
      <c r="AY38" s="18"/>
      <c r="AZ38" s="18"/>
      <c r="BA38" s="18"/>
      <c r="BB38" s="18"/>
      <c r="BC38" s="18"/>
    </row>
    <row r="39" spans="2:55" ht="16.2" thickBot="1" x14ac:dyDescent="0.35">
      <c r="B39" s="30"/>
      <c r="C39" s="640" t="s">
        <v>321</v>
      </c>
      <c r="D39" s="164" t="s">
        <v>358</v>
      </c>
      <c r="E39" s="164"/>
      <c r="F39" s="164"/>
      <c r="G39" s="164"/>
      <c r="H39" s="164"/>
      <c r="I39" s="164"/>
      <c r="J39" s="164"/>
      <c r="K39" s="164"/>
      <c r="L39" s="164"/>
      <c r="M39" s="164"/>
      <c r="N39" s="209"/>
      <c r="O39" s="724"/>
      <c r="P39" s="250">
        <v>1</v>
      </c>
      <c r="Q39" s="190">
        <f>'C1'!AP44</f>
        <v>0</v>
      </c>
      <c r="R39" s="20"/>
      <c r="S39" s="488"/>
      <c r="T39" s="216"/>
      <c r="U39" s="216"/>
      <c r="V39" s="19"/>
      <c r="W39" s="19"/>
      <c r="X39" s="19"/>
      <c r="Y39" s="19"/>
      <c r="Z39" s="19"/>
      <c r="AA39" s="19"/>
      <c r="AB39" s="19"/>
      <c r="AC39" s="19"/>
      <c r="AD39" s="19"/>
      <c r="AE39" s="217"/>
      <c r="AI39" s="18" t="str">
        <f>IF('C1'!AR44=0,"",'C1'!AR44)</f>
        <v/>
      </c>
      <c r="AJ39" s="18"/>
      <c r="AK39" s="18"/>
      <c r="AL39" s="18"/>
      <c r="AM39" s="18"/>
      <c r="AN39" s="18"/>
      <c r="AO39" s="18"/>
      <c r="AP39" s="18"/>
      <c r="AQ39" s="18"/>
      <c r="AR39" s="18"/>
      <c r="AS39" s="18"/>
      <c r="AT39" s="18"/>
      <c r="AU39" s="18"/>
      <c r="AV39" s="18"/>
      <c r="AW39" s="18"/>
      <c r="AX39" s="18"/>
      <c r="AY39" s="18"/>
      <c r="AZ39" s="18"/>
      <c r="BA39" s="18"/>
      <c r="BB39" s="18"/>
      <c r="BC39" s="18"/>
    </row>
    <row r="40" spans="2:55" ht="16.2" thickBot="1" x14ac:dyDescent="0.35">
      <c r="B40" s="30"/>
      <c r="C40" s="197" t="s">
        <v>144</v>
      </c>
      <c r="D40" s="198"/>
      <c r="E40" s="198"/>
      <c r="F40" s="198"/>
      <c r="G40" s="198"/>
      <c r="H40" s="198"/>
      <c r="I40" s="198"/>
      <c r="J40" s="198"/>
      <c r="K40" s="198"/>
      <c r="L40" s="198"/>
      <c r="M40" s="198"/>
      <c r="N40" s="208"/>
      <c r="O40" s="199"/>
      <c r="P40" s="198"/>
      <c r="Q40" s="200" t="e">
        <f>Q38+Q39</f>
        <v>#VALUE!</v>
      </c>
      <c r="R40" s="20"/>
      <c r="S40" s="488"/>
      <c r="T40" s="218"/>
      <c r="U40" s="218"/>
      <c r="V40" s="219"/>
      <c r="W40" s="219"/>
      <c r="X40" s="219"/>
      <c r="Y40" s="219"/>
      <c r="Z40" s="219"/>
      <c r="AA40" s="219"/>
      <c r="AB40" s="219"/>
      <c r="AC40" s="219"/>
      <c r="AD40" s="219"/>
      <c r="AE40" s="220"/>
      <c r="AI40" s="355"/>
      <c r="AJ40" s="355"/>
      <c r="AK40" s="355"/>
      <c r="AL40" s="355"/>
      <c r="AM40" s="355"/>
      <c r="AN40" s="355"/>
      <c r="AO40" s="355"/>
      <c r="AP40" s="355"/>
      <c r="AQ40" s="355"/>
      <c r="AR40" s="355"/>
      <c r="AS40" s="355"/>
      <c r="AT40" s="355"/>
      <c r="AU40" s="355"/>
      <c r="AV40" s="355"/>
      <c r="AW40" s="355"/>
      <c r="AX40" s="355"/>
      <c r="AY40" s="355"/>
      <c r="AZ40" s="355"/>
      <c r="BA40" s="355"/>
      <c r="BB40" s="355"/>
      <c r="BC40" s="355"/>
    </row>
    <row r="41" spans="2:55" x14ac:dyDescent="0.3">
      <c r="B41" s="31"/>
      <c r="C41" s="489" t="s">
        <v>145</v>
      </c>
      <c r="D41" s="38"/>
      <c r="E41" s="38"/>
      <c r="F41" s="38"/>
      <c r="G41" s="38"/>
      <c r="H41" s="38"/>
      <c r="I41" s="38"/>
      <c r="J41" s="38"/>
      <c r="K41" s="38"/>
      <c r="L41" s="38"/>
      <c r="M41" s="38"/>
      <c r="N41" s="490">
        <v>0</v>
      </c>
      <c r="O41" s="491">
        <v>100</v>
      </c>
      <c r="P41" s="643" t="s">
        <v>323</v>
      </c>
      <c r="Q41" s="644" t="e">
        <f>100-Q40</f>
        <v>#VALUE!</v>
      </c>
      <c r="R41" s="38"/>
      <c r="S41" s="125"/>
    </row>
    <row r="42" spans="2:55" x14ac:dyDescent="0.3">
      <c r="H42" s="109"/>
      <c r="I42" s="109"/>
      <c r="J42" s="109"/>
      <c r="K42" s="109"/>
      <c r="L42" s="109"/>
      <c r="M42" s="109"/>
      <c r="N42" s="109"/>
      <c r="P42" s="109"/>
      <c r="Q42" s="109"/>
    </row>
  </sheetData>
  <conditionalFormatting sqref="R3:R5">
    <cfRule type="colorScale" priority="35">
      <colorScale>
        <cfvo type="min"/>
        <cfvo type="percentile" val="50"/>
        <cfvo type="max"/>
        <color rgb="FFF8696B"/>
        <color rgb="FFFFEB84"/>
        <color rgb="FF63BE7B"/>
      </colorScale>
    </cfRule>
  </conditionalFormatting>
  <conditionalFormatting sqref="N18:N37 N39:N40 O26">
    <cfRule type="iconSet" priority="33">
      <iconSet iconSet="4TrafficLights">
        <cfvo type="percent" val="0"/>
        <cfvo type="num" val="25" gte="0"/>
        <cfvo type="num" val="50" gte="0"/>
        <cfvo type="num" val="75" gte="0"/>
      </iconSet>
    </cfRule>
    <cfRule type="iconSet" priority="34">
      <iconSet iconSet="4TrafficLights">
        <cfvo type="percent" val="0"/>
        <cfvo type="num" val="0"/>
        <cfvo type="num" val="0"/>
        <cfvo type="num" val="76"/>
      </iconSet>
    </cfRule>
  </conditionalFormatting>
  <conditionalFormatting sqref="S20 S22 S26 S29 S31 S33 S36">
    <cfRule type="iconSet" priority="31">
      <iconSet iconSet="4TrafficLights">
        <cfvo type="percent" val="0"/>
        <cfvo type="num" val="25" gte="0"/>
        <cfvo type="num" val="50" gte="0"/>
        <cfvo type="num" val="75" gte="0"/>
      </iconSet>
    </cfRule>
    <cfRule type="iconSet" priority="32">
      <iconSet iconSet="4TrafficLights">
        <cfvo type="percent" val="0"/>
        <cfvo type="num" val="0"/>
        <cfvo type="num" val="0"/>
        <cfvo type="num" val="76"/>
      </iconSet>
    </cfRule>
  </conditionalFormatting>
  <conditionalFormatting sqref="O29">
    <cfRule type="iconSet" priority="29">
      <iconSet iconSet="4TrafficLights">
        <cfvo type="percent" val="0"/>
        <cfvo type="num" val="25" gte="0"/>
        <cfvo type="num" val="50" gte="0"/>
        <cfvo type="num" val="75" gte="0"/>
      </iconSet>
    </cfRule>
    <cfRule type="iconSet" priority="30">
      <iconSet iconSet="4TrafficLights">
        <cfvo type="percent" val="0"/>
        <cfvo type="num" val="0"/>
        <cfvo type="num" val="0"/>
        <cfvo type="num" val="76"/>
      </iconSet>
    </cfRule>
  </conditionalFormatting>
  <conditionalFormatting sqref="O31">
    <cfRule type="iconSet" priority="27">
      <iconSet iconSet="4TrafficLights">
        <cfvo type="percent" val="0"/>
        <cfvo type="num" val="25" gte="0"/>
        <cfvo type="num" val="50" gte="0"/>
        <cfvo type="num" val="75" gte="0"/>
      </iconSet>
    </cfRule>
    <cfRule type="iconSet" priority="28">
      <iconSet iconSet="4TrafficLights">
        <cfvo type="percent" val="0"/>
        <cfvo type="num" val="0"/>
        <cfvo type="num" val="0"/>
        <cfvo type="num" val="76"/>
      </iconSet>
    </cfRule>
  </conditionalFormatting>
  <conditionalFormatting sqref="O33">
    <cfRule type="iconSet" priority="25">
      <iconSet iconSet="4TrafficLights">
        <cfvo type="percent" val="0"/>
        <cfvo type="num" val="25" gte="0"/>
        <cfvo type="num" val="50" gte="0"/>
        <cfvo type="num" val="75" gte="0"/>
      </iconSet>
    </cfRule>
    <cfRule type="iconSet" priority="26">
      <iconSet iconSet="4TrafficLights">
        <cfvo type="percent" val="0"/>
        <cfvo type="num" val="0"/>
        <cfvo type="num" val="0"/>
        <cfvo type="num" val="76"/>
      </iconSet>
    </cfRule>
  </conditionalFormatting>
  <conditionalFormatting sqref="O36">
    <cfRule type="iconSet" priority="23">
      <iconSet iconSet="4TrafficLights">
        <cfvo type="percent" val="0"/>
        <cfvo type="num" val="25" gte="0"/>
        <cfvo type="num" val="50" gte="0"/>
        <cfvo type="num" val="75" gte="0"/>
      </iconSet>
    </cfRule>
    <cfRule type="iconSet" priority="24">
      <iconSet iconSet="4TrafficLights">
        <cfvo type="percent" val="0"/>
        <cfvo type="num" val="0"/>
        <cfvo type="num" val="0"/>
        <cfvo type="num" val="76"/>
      </iconSet>
    </cfRule>
  </conditionalFormatting>
  <conditionalFormatting sqref="S19 S21 S23:S25 S27:S28 S30 S32 S34:S35 S37">
    <cfRule type="iconSet" priority="22">
      <iconSet>
        <cfvo type="percent" val="0"/>
        <cfvo type="num" val="50"/>
        <cfvo type="num" val="75"/>
      </iconSet>
    </cfRule>
  </conditionalFormatting>
  <conditionalFormatting sqref="O5">
    <cfRule type="iconSet" priority="7">
      <iconSet>
        <cfvo type="percent" val="0"/>
        <cfvo type="percent" val="25"/>
        <cfvo type="percent" val="75"/>
      </iconSet>
    </cfRule>
  </conditionalFormatting>
  <conditionalFormatting sqref="P5">
    <cfRule type="iconSet" priority="6">
      <iconSet>
        <cfvo type="percent" val="0"/>
        <cfvo type="percent" val="25"/>
        <cfvo type="percent" val="75"/>
      </iconSet>
    </cfRule>
  </conditionalFormatting>
  <conditionalFormatting sqref="Q5">
    <cfRule type="iconSet" priority="3">
      <iconSet>
        <cfvo type="percent" val="0"/>
        <cfvo type="percent" val="25"/>
        <cfvo type="percent" val="75"/>
      </iconSet>
    </cfRule>
    <cfRule type="iconSet" priority="4">
      <iconSet>
        <cfvo type="percent" val="0"/>
        <cfvo type="percent" val="33"/>
        <cfvo type="percent" val="67"/>
      </iconSet>
    </cfRule>
    <cfRule type="iconSet" priority="5">
      <iconSet>
        <cfvo type="percent" val="0"/>
        <cfvo type="percent" val="25"/>
        <cfvo type="percent" val="75"/>
      </iconSet>
    </cfRule>
  </conditionalFormatting>
  <conditionalFormatting sqref="O5:Q5">
    <cfRule type="iconSet" priority="1">
      <iconSet>
        <cfvo type="percent" val="0"/>
        <cfvo type="num" val="0.26"/>
        <cfvo type="num" val="0.75"/>
      </iconSet>
    </cfRule>
    <cfRule type="iconSet" priority="2">
      <iconSet>
        <cfvo type="percent" val="0"/>
        <cfvo type="percent" val="33"/>
        <cfvo type="percent" val="67"/>
      </iconSet>
    </cfRule>
  </conditionalFormatting>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E2F18AEE-FF43-499C-BA7A-BB3FD6B0E9FD}">
          <x14:formula1>
            <xm:f>'info weging'!$H$175:$H$181</xm:f>
          </x14:formula1>
          <xm:sqref>T4:T5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FE9D0-CD10-43B4-970A-D2DF6B6C8CB5}">
  <sheetPr>
    <tabColor rgb="FF3A0000"/>
  </sheetPr>
  <dimension ref="B1:BC42"/>
  <sheetViews>
    <sheetView showGridLines="0" showRowColHeaders="0" zoomScale="55" zoomScaleNormal="55" workbookViewId="0">
      <selection activeCell="B41" sqref="B1:S41"/>
    </sheetView>
  </sheetViews>
  <sheetFormatPr defaultRowHeight="14.4" x14ac:dyDescent="0.3"/>
  <cols>
    <col min="3" max="3" width="8.88671875" style="107"/>
    <col min="4" max="4" width="45.5546875" customWidth="1"/>
    <col min="7" max="7" width="12.6640625" customWidth="1"/>
    <col min="14" max="14" width="11.109375" customWidth="1"/>
    <col min="15" max="15" width="8.88671875" style="109"/>
    <col min="18" max="18" width="0" hidden="1" customWidth="1"/>
    <col min="19" max="19" width="9.6640625" customWidth="1"/>
    <col min="20" max="33" width="0" hidden="1" customWidth="1"/>
  </cols>
  <sheetData>
    <row r="1" spans="2:55" ht="53.4" customHeight="1" x14ac:dyDescent="0.65">
      <c r="B1" s="119"/>
      <c r="C1" s="81"/>
      <c r="D1" s="81"/>
      <c r="E1" s="654"/>
      <c r="F1" s="654"/>
      <c r="G1" s="654"/>
      <c r="H1" s="655"/>
      <c r="I1" s="656"/>
      <c r="J1" s="656"/>
      <c r="K1" s="656"/>
      <c r="L1" s="656"/>
      <c r="M1" s="656"/>
      <c r="N1" s="656"/>
      <c r="O1" s="656"/>
      <c r="P1" s="656"/>
      <c r="Q1" s="657"/>
      <c r="R1" s="81"/>
      <c r="S1" s="121"/>
    </row>
    <row r="2" spans="2:55" ht="15" thickBot="1" x14ac:dyDescent="0.35">
      <c r="B2" s="30"/>
      <c r="C2" s="20"/>
      <c r="D2" s="20"/>
      <c r="E2" s="20"/>
      <c r="F2" s="20"/>
      <c r="G2" s="20"/>
      <c r="H2" s="20"/>
      <c r="I2" s="20"/>
      <c r="J2" s="20"/>
      <c r="K2" s="20"/>
      <c r="L2" s="20"/>
      <c r="M2" s="20"/>
      <c r="N2" s="20"/>
      <c r="O2" s="20"/>
      <c r="P2" s="20"/>
      <c r="Q2" s="20"/>
      <c r="R2" s="20"/>
      <c r="S2" s="123"/>
    </row>
    <row r="3" spans="2:55" ht="21" customHeight="1" thickBot="1" x14ac:dyDescent="0.5">
      <c r="B3" s="30"/>
      <c r="C3" s="641" t="str">
        <f>'D1'!$N$2</f>
        <v>De Circulaire Peiler</v>
      </c>
      <c r="D3" s="588"/>
      <c r="E3" s="588"/>
      <c r="F3" s="588"/>
      <c r="G3" s="588"/>
      <c r="H3" s="588"/>
      <c r="I3" s="588"/>
      <c r="J3" s="588"/>
      <c r="K3" s="588"/>
      <c r="L3" s="588"/>
      <c r="M3" s="588"/>
      <c r="N3" s="215" t="s">
        <v>127</v>
      </c>
      <c r="O3" s="215" t="s">
        <v>128</v>
      </c>
      <c r="P3" s="213"/>
      <c r="Q3" s="214"/>
      <c r="R3" s="196">
        <v>0</v>
      </c>
      <c r="S3" s="123"/>
    </row>
    <row r="4" spans="2:55" ht="21.6" customHeight="1" x14ac:dyDescent="0.35">
      <c r="B4" s="30"/>
      <c r="C4" s="642" t="str">
        <f>'D1'!$N$3</f>
        <v>Peilstok die circulariteit in projecten meetbaar maakt</v>
      </c>
      <c r="D4" s="589"/>
      <c r="E4" s="589"/>
      <c r="F4" s="589"/>
      <c r="G4" s="589"/>
      <c r="H4" s="589"/>
      <c r="I4" s="589"/>
      <c r="J4" s="589"/>
      <c r="K4" s="589"/>
      <c r="L4" s="589"/>
      <c r="M4" s="589"/>
      <c r="N4" s="711" t="s">
        <v>381</v>
      </c>
      <c r="O4" s="396" t="s">
        <v>130</v>
      </c>
      <c r="P4" s="397" t="s">
        <v>351</v>
      </c>
      <c r="Q4" s="398" t="s">
        <v>131</v>
      </c>
      <c r="R4" s="196">
        <v>100</v>
      </c>
      <c r="S4" s="123"/>
      <c r="T4" s="47"/>
    </row>
    <row r="5" spans="2:55" ht="21.6" customHeight="1" thickBot="1" x14ac:dyDescent="0.4">
      <c r="B5" s="30"/>
      <c r="C5" s="590" t="s">
        <v>132</v>
      </c>
      <c r="D5" s="591" t="str">
        <f>'D1'!AP2&amp; " d.d. "&amp;'D1'!AP3</f>
        <v xml:space="preserve"> d.d. </v>
      </c>
      <c r="E5" s="591"/>
      <c r="F5" s="591"/>
      <c r="G5" s="591"/>
      <c r="H5" s="591"/>
      <c r="I5" s="591"/>
      <c r="J5" s="591"/>
      <c r="K5" s="591"/>
      <c r="L5" s="591"/>
      <c r="M5" s="591"/>
      <c r="N5" s="231" t="e">
        <f>Q40</f>
        <v>#VALUE!</v>
      </c>
      <c r="O5" s="271" t="str">
        <f>IF('D1'!AP68=0,"?",'D1'!AP67)</f>
        <v>?</v>
      </c>
      <c r="P5" s="272" t="str">
        <f>IF('D1'!AP72=0,"?",'D1'!AP71)</f>
        <v>?</v>
      </c>
      <c r="Q5" s="273" t="str">
        <f>IF('D1'!AP76=0,"?",'D1'!AP75)</f>
        <v>?</v>
      </c>
      <c r="R5" s="196"/>
      <c r="S5" s="123"/>
      <c r="T5" s="47"/>
    </row>
    <row r="6" spans="2:55" ht="21" x14ac:dyDescent="0.4">
      <c r="B6" s="30"/>
      <c r="C6" s="478"/>
      <c r="D6" s="20"/>
      <c r="E6" s="20"/>
      <c r="F6" s="20"/>
      <c r="G6" s="20"/>
      <c r="H6" s="20"/>
      <c r="I6" s="20"/>
      <c r="J6" s="20"/>
      <c r="K6" s="20"/>
      <c r="L6" s="20"/>
      <c r="M6" s="20"/>
      <c r="N6" s="20"/>
      <c r="O6" s="166" t="s">
        <v>133</v>
      </c>
      <c r="P6" s="20"/>
      <c r="Q6" s="20"/>
      <c r="R6" s="20"/>
      <c r="S6" s="123"/>
    </row>
    <row r="7" spans="2:55" x14ac:dyDescent="0.3">
      <c r="B7" s="30"/>
      <c r="C7" s="119"/>
      <c r="D7" s="81"/>
      <c r="E7" s="81"/>
      <c r="F7" s="81"/>
      <c r="G7" s="81"/>
      <c r="H7" s="81"/>
      <c r="I7" s="81"/>
      <c r="J7" s="81"/>
      <c r="K7" s="81"/>
      <c r="L7" s="81"/>
      <c r="M7" s="121"/>
      <c r="N7" s="119" t="s">
        <v>29</v>
      </c>
      <c r="O7" s="120"/>
      <c r="P7" s="81"/>
      <c r="Q7" s="121"/>
      <c r="R7" s="20"/>
      <c r="S7" s="123"/>
    </row>
    <row r="8" spans="2:55" x14ac:dyDescent="0.3">
      <c r="B8" s="30"/>
      <c r="C8" s="152" t="s">
        <v>21</v>
      </c>
      <c r="D8" s="20"/>
      <c r="E8" s="20"/>
      <c r="F8" s="20"/>
      <c r="G8" s="749" t="str">
        <f>'D1'!N4</f>
        <v>Projectnaam</v>
      </c>
      <c r="H8" s="154"/>
      <c r="I8" s="154"/>
      <c r="J8" s="154"/>
      <c r="K8" s="20"/>
      <c r="L8" s="20"/>
      <c r="M8" s="123"/>
      <c r="N8" s="122">
        <v>1</v>
      </c>
      <c r="O8" s="20" t="s">
        <v>50</v>
      </c>
      <c r="P8" s="20"/>
      <c r="Q8" s="123"/>
      <c r="R8" s="20"/>
      <c r="S8" s="123"/>
    </row>
    <row r="9" spans="2:55" x14ac:dyDescent="0.3">
      <c r="B9" s="30"/>
      <c r="C9" s="152" t="s">
        <v>324</v>
      </c>
      <c r="D9" s="20"/>
      <c r="E9" s="20"/>
      <c r="F9" s="20"/>
      <c r="G9" s="749" t="str">
        <f>'D1'!N6</f>
        <v>Plaatsnaam</v>
      </c>
      <c r="H9" s="154"/>
      <c r="I9" s="154"/>
      <c r="J9" s="154"/>
      <c r="K9" s="20"/>
      <c r="L9" s="20"/>
      <c r="M9" s="123"/>
      <c r="N9" s="122">
        <v>2</v>
      </c>
      <c r="O9" s="20" t="s">
        <v>22</v>
      </c>
      <c r="P9" s="20"/>
      <c r="Q9" s="123"/>
      <c r="R9" s="20"/>
      <c r="S9" s="123"/>
    </row>
    <row r="10" spans="2:55" x14ac:dyDescent="0.3">
      <c r="B10" s="30"/>
      <c r="C10" s="152" t="s">
        <v>325</v>
      </c>
      <c r="D10" s="20"/>
      <c r="E10" s="20"/>
      <c r="F10" s="20"/>
      <c r="G10" s="749" t="str">
        <f>'D1'!N7</f>
        <v>D1</v>
      </c>
      <c r="H10" s="154"/>
      <c r="I10" s="154"/>
      <c r="J10" s="154"/>
      <c r="K10" s="20"/>
      <c r="L10" s="20"/>
      <c r="M10" s="123"/>
      <c r="N10" s="122">
        <v>3</v>
      </c>
      <c r="O10" s="20" t="s">
        <v>134</v>
      </c>
      <c r="P10" s="20"/>
      <c r="Q10" s="123"/>
      <c r="R10" s="20"/>
      <c r="S10" s="123"/>
    </row>
    <row r="11" spans="2:55" x14ac:dyDescent="0.3">
      <c r="B11" s="30"/>
      <c r="C11" s="152" t="s">
        <v>135</v>
      </c>
      <c r="D11" s="20"/>
      <c r="E11" s="20"/>
      <c r="F11" s="20"/>
      <c r="G11" s="293">
        <f>IF(H11="initiatieffase",1)+IF(H11="verkenningsfase",2)+IF(H11="beheer/onderhoudsfase",6)+IF(H11="contractvormingsfase",4)+IF(H11="realisatiefase",5)+IF(H11="&lt;eigen weegfactoren&gt;",7)+IF(H11="planuitwerkingsfase",3)</f>
        <v>2</v>
      </c>
      <c r="H11" s="154" t="str">
        <f>'D1'!N8</f>
        <v>verkenningsfase</v>
      </c>
      <c r="I11" s="154"/>
      <c r="J11" s="154"/>
      <c r="K11" s="169"/>
      <c r="L11" s="167"/>
      <c r="M11" s="168"/>
      <c r="N11" s="122">
        <v>4</v>
      </c>
      <c r="O11" s="20" t="s">
        <v>136</v>
      </c>
      <c r="P11" s="20"/>
      <c r="Q11" s="123"/>
      <c r="R11" s="20"/>
      <c r="S11" s="123"/>
      <c r="T11" s="1"/>
      <c r="U11" s="1"/>
      <c r="V11" s="1"/>
      <c r="W11" s="1"/>
      <c r="X11" s="1"/>
      <c r="Y11" s="1"/>
      <c r="Z11" s="1"/>
      <c r="AA11" s="1"/>
      <c r="AB11" s="1"/>
      <c r="AC11" s="1"/>
      <c r="AD11" s="1"/>
      <c r="AE11" s="1"/>
      <c r="AF11" s="1"/>
      <c r="AG11" s="1"/>
      <c r="AH11" s="1"/>
      <c r="AI11" s="1"/>
      <c r="AJ11" s="1"/>
      <c r="AK11" s="1"/>
      <c r="AL11" s="1"/>
    </row>
    <row r="12" spans="2:55" x14ac:dyDescent="0.3">
      <c r="B12" s="30"/>
      <c r="C12" s="152"/>
      <c r="D12" s="20"/>
      <c r="E12" s="20"/>
      <c r="F12" s="20"/>
      <c r="G12" s="750"/>
      <c r="H12" s="20"/>
      <c r="I12" s="20"/>
      <c r="J12" s="20"/>
      <c r="K12" s="20"/>
      <c r="L12" s="20"/>
      <c r="M12" s="123"/>
      <c r="N12" s="122">
        <v>5</v>
      </c>
      <c r="O12" s="20" t="s">
        <v>137</v>
      </c>
      <c r="P12" s="20"/>
      <c r="Q12" s="123"/>
      <c r="R12" s="20"/>
      <c r="S12" s="123"/>
      <c r="T12" s="1"/>
      <c r="U12" s="1"/>
      <c r="V12" s="1"/>
      <c r="W12" s="1"/>
      <c r="X12" s="1"/>
      <c r="Y12" s="1"/>
      <c r="Z12" s="1"/>
      <c r="AA12" s="1"/>
      <c r="AB12" s="1"/>
      <c r="AC12" s="1"/>
      <c r="AD12" s="1"/>
      <c r="AE12" s="1"/>
      <c r="AF12" s="1"/>
      <c r="AG12" s="1"/>
      <c r="AH12" s="1"/>
      <c r="AI12" s="1"/>
      <c r="AJ12" s="1"/>
      <c r="AK12" s="1"/>
      <c r="AL12" s="1"/>
    </row>
    <row r="13" spans="2:55" x14ac:dyDescent="0.3">
      <c r="B13" s="30"/>
      <c r="C13" s="152" t="s">
        <v>23</v>
      </c>
      <c r="D13" s="20"/>
      <c r="E13" s="20"/>
      <c r="F13" s="20"/>
      <c r="G13" s="749" t="str">
        <f>'D1'!N10</f>
        <v>D2</v>
      </c>
      <c r="H13" s="154"/>
      <c r="I13" s="154"/>
      <c r="J13" s="154"/>
      <c r="K13" s="20"/>
      <c r="L13" s="20"/>
      <c r="M13" s="123"/>
      <c r="N13" s="122">
        <v>6</v>
      </c>
      <c r="O13" s="20" t="s">
        <v>138</v>
      </c>
      <c r="P13" s="20"/>
      <c r="Q13" s="123"/>
      <c r="R13" s="20"/>
      <c r="S13" s="123"/>
      <c r="T13" s="1"/>
      <c r="U13" s="1"/>
      <c r="V13" s="1"/>
      <c r="W13" s="1"/>
      <c r="X13" s="1"/>
      <c r="Y13" s="1"/>
      <c r="Z13" s="1"/>
      <c r="AA13" s="1"/>
      <c r="AB13" s="1"/>
      <c r="AC13" s="1"/>
      <c r="AD13" s="1"/>
      <c r="AE13" s="1"/>
      <c r="AF13" s="1"/>
      <c r="AG13" s="1"/>
      <c r="AH13" s="1"/>
      <c r="AI13" s="1"/>
      <c r="AJ13" s="1"/>
      <c r="AK13" s="1"/>
      <c r="AL13" s="1"/>
    </row>
    <row r="14" spans="2:55" x14ac:dyDescent="0.3">
      <c r="B14" s="30"/>
      <c r="C14" s="153" t="s">
        <v>24</v>
      </c>
      <c r="D14" s="38"/>
      <c r="E14" s="38"/>
      <c r="F14" s="38"/>
      <c r="G14" s="751" t="str">
        <f>'D1'!N11</f>
        <v>D3</v>
      </c>
      <c r="H14" s="170"/>
      <c r="I14" s="170"/>
      <c r="J14" s="170"/>
      <c r="K14" s="38" t="str">
        <f>IF(G18=7,O14,"")</f>
        <v/>
      </c>
      <c r="L14" s="38"/>
      <c r="M14" s="125"/>
      <c r="N14" s="124">
        <v>7</v>
      </c>
      <c r="O14" s="38" t="s">
        <v>139</v>
      </c>
      <c r="P14" s="38"/>
      <c r="Q14" s="125"/>
      <c r="R14" s="20"/>
      <c r="S14" s="123"/>
      <c r="T14" s="1"/>
      <c r="U14" s="1"/>
      <c r="V14" s="1"/>
      <c r="W14" s="1"/>
      <c r="X14" s="1"/>
      <c r="Y14" s="1"/>
      <c r="Z14" s="1"/>
      <c r="AA14" s="1"/>
      <c r="AB14" s="1"/>
      <c r="AC14" s="1"/>
      <c r="AD14" s="1"/>
      <c r="AE14" s="1"/>
      <c r="AF14" s="1"/>
      <c r="AG14" s="1"/>
      <c r="AH14" s="1"/>
      <c r="AI14" s="1"/>
      <c r="AJ14" s="1"/>
      <c r="AK14" s="1"/>
      <c r="AL14" s="1"/>
    </row>
    <row r="15" spans="2:55" ht="384" customHeight="1" x14ac:dyDescent="0.3">
      <c r="B15" s="30"/>
      <c r="C15" s="166"/>
      <c r="D15" s="479" t="s">
        <v>322</v>
      </c>
      <c r="E15" s="20"/>
      <c r="F15" s="20"/>
      <c r="G15" s="20"/>
      <c r="H15" s="20"/>
      <c r="I15" s="20"/>
      <c r="J15" s="20"/>
      <c r="K15" s="20"/>
      <c r="L15" s="20"/>
      <c r="M15" s="20"/>
      <c r="N15" s="126"/>
      <c r="O15" s="20"/>
      <c r="P15" s="20"/>
      <c r="Q15" s="20"/>
      <c r="R15" s="20"/>
      <c r="S15" s="123"/>
      <c r="T15" s="1"/>
      <c r="U15" s="1"/>
      <c r="V15" s="1"/>
      <c r="W15" s="1"/>
      <c r="X15" s="1"/>
      <c r="Y15" s="1"/>
      <c r="Z15" s="1"/>
      <c r="AA15" s="1"/>
      <c r="AB15" s="1"/>
      <c r="AC15" s="1"/>
      <c r="AD15" s="1"/>
      <c r="AE15" s="1"/>
      <c r="AF15" s="1"/>
      <c r="AG15" s="1"/>
      <c r="AH15" s="1"/>
      <c r="AI15" s="1"/>
      <c r="AJ15" s="1"/>
      <c r="AK15" s="1"/>
      <c r="AL15" s="1"/>
    </row>
    <row r="16" spans="2:55" ht="12" customHeight="1" x14ac:dyDescent="0.3">
      <c r="B16" s="30"/>
      <c r="C16" s="224"/>
      <c r="D16" s="225"/>
      <c r="E16" s="81"/>
      <c r="F16" s="81"/>
      <c r="G16" s="81"/>
      <c r="H16" s="81"/>
      <c r="I16" s="81"/>
      <c r="J16" s="81"/>
      <c r="K16" s="81"/>
      <c r="L16" s="81"/>
      <c r="M16" s="81"/>
      <c r="N16" s="120"/>
      <c r="O16" s="81"/>
      <c r="P16" s="119"/>
      <c r="Q16" s="229" t="s">
        <v>129</v>
      </c>
      <c r="R16" s="20"/>
      <c r="S16" s="123"/>
      <c r="AI16" s="18"/>
      <c r="AJ16" s="18"/>
      <c r="AK16" s="18"/>
      <c r="AL16" s="18"/>
      <c r="AM16" s="18"/>
      <c r="AN16" s="18"/>
      <c r="AO16" s="18"/>
      <c r="AP16" s="18"/>
      <c r="AQ16" s="18"/>
      <c r="AR16" s="18"/>
      <c r="AS16" s="18"/>
      <c r="AT16" s="18"/>
      <c r="AU16" s="18"/>
      <c r="AV16" s="18"/>
      <c r="AW16" s="18"/>
      <c r="AX16" s="18"/>
      <c r="AY16" s="18"/>
      <c r="AZ16" s="18"/>
      <c r="BA16" s="18"/>
      <c r="BB16" s="18"/>
      <c r="BC16" s="18"/>
    </row>
    <row r="17" spans="2:55" ht="15.6" x14ac:dyDescent="0.3">
      <c r="B17" s="30"/>
      <c r="C17" s="226" t="str">
        <f>"Overzicht acties en maatregelen. Hoe invulling wordt gegeven aan de 8 ontwerpprincipes uit het MIRT. Alternatief: "&amp;'info vergelijk'!H47</f>
        <v>Overzicht acties en maatregelen. Hoe invulling wordt gegeven aan de 8 ontwerpprincipes uit het MIRT. Alternatief: D1 NIET VOLLEDIG</v>
      </c>
      <c r="D17" s="227"/>
      <c r="E17" s="227"/>
      <c r="F17" s="227"/>
      <c r="G17" s="227"/>
      <c r="H17" s="227"/>
      <c r="I17" s="227"/>
      <c r="J17" s="227"/>
      <c r="K17" s="227"/>
      <c r="L17" s="227"/>
      <c r="M17" s="227"/>
      <c r="N17" s="227"/>
      <c r="O17" s="228"/>
      <c r="P17" s="230" t="s">
        <v>47</v>
      </c>
      <c r="Q17" s="395" t="s">
        <v>140</v>
      </c>
      <c r="R17" s="20"/>
      <c r="S17" s="123" t="s">
        <v>141</v>
      </c>
      <c r="T17" s="477" t="s">
        <v>142</v>
      </c>
      <c r="U17" s="221"/>
      <c r="V17" s="222"/>
      <c r="W17" s="222"/>
      <c r="X17" s="222"/>
      <c r="Y17" s="222"/>
      <c r="Z17" s="222"/>
      <c r="AA17" s="222"/>
      <c r="AB17" s="222"/>
      <c r="AC17" s="222"/>
      <c r="AD17" s="222"/>
      <c r="AE17" s="223"/>
      <c r="AI17" s="356" t="s">
        <v>369</v>
      </c>
      <c r="AJ17" s="18"/>
      <c r="AK17" s="18"/>
      <c r="AL17" s="18"/>
      <c r="AM17" s="18"/>
      <c r="AN17" s="18"/>
      <c r="AO17" s="18"/>
      <c r="AP17" s="18"/>
      <c r="AQ17" s="18"/>
      <c r="AR17" s="18"/>
      <c r="AS17" s="18"/>
      <c r="AT17" s="18"/>
      <c r="AU17" s="18"/>
      <c r="AV17" s="18"/>
      <c r="AW17" s="18"/>
      <c r="AX17" s="18"/>
      <c r="AY17" s="18"/>
      <c r="AZ17" s="18"/>
      <c r="BA17" s="18"/>
      <c r="BB17" s="18"/>
      <c r="BC17" s="18"/>
    </row>
    <row r="18" spans="2:55" ht="15.6" x14ac:dyDescent="0.3">
      <c r="B18" s="30"/>
      <c r="C18" s="129">
        <f>'D1'!K23</f>
        <v>1</v>
      </c>
      <c r="D18" s="136" t="str">
        <f>'D1'!L23</f>
        <v>Voorkómen: niet doen wat echt niet hoeft</v>
      </c>
      <c r="E18" s="136"/>
      <c r="F18" s="136"/>
      <c r="G18" s="137"/>
      <c r="H18" s="137"/>
      <c r="I18" s="137"/>
      <c r="J18" s="137"/>
      <c r="K18" s="137"/>
      <c r="L18" s="137"/>
      <c r="M18" s="137"/>
      <c r="N18" s="137"/>
      <c r="O18" s="245"/>
      <c r="P18" s="246">
        <f>'D1'!W23</f>
        <v>0.27</v>
      </c>
      <c r="Q18" s="158" t="e">
        <f>P18*P19*S19</f>
        <v>#VALUE!</v>
      </c>
      <c r="R18" s="20"/>
      <c r="S18" s="123"/>
      <c r="T18" s="216"/>
      <c r="U18" s="216"/>
      <c r="V18" s="19"/>
      <c r="W18" s="19"/>
      <c r="X18" s="19"/>
      <c r="Y18" s="19"/>
      <c r="Z18" s="19"/>
      <c r="AA18" s="19"/>
      <c r="AB18" s="19"/>
      <c r="AC18" s="19"/>
      <c r="AD18" s="19"/>
      <c r="AE18" s="217"/>
      <c r="AI18" s="18"/>
      <c r="AJ18" s="18"/>
      <c r="AK18" s="18"/>
      <c r="AL18" s="18"/>
      <c r="AM18" s="18"/>
      <c r="AN18" s="18"/>
      <c r="AO18" s="18"/>
      <c r="AP18" s="18"/>
      <c r="AQ18" s="18"/>
      <c r="AR18" s="18"/>
      <c r="AS18" s="18"/>
      <c r="AT18" s="18"/>
      <c r="AU18" s="18"/>
      <c r="AV18" s="18"/>
      <c r="AW18" s="18"/>
      <c r="AX18" s="18"/>
      <c r="AY18" s="18"/>
      <c r="AZ18" s="18"/>
      <c r="BA18" s="18"/>
      <c r="BB18" s="18"/>
      <c r="BC18" s="18"/>
    </row>
    <row r="19" spans="2:55" ht="15.6" x14ac:dyDescent="0.3">
      <c r="B19" s="30"/>
      <c r="C19" s="380" t="str">
        <f>'D1'!K24</f>
        <v>a</v>
      </c>
      <c r="D19" s="381">
        <f>'D1'!N24</f>
        <v>0</v>
      </c>
      <c r="E19" s="154"/>
      <c r="F19" s="154"/>
      <c r="G19" s="154"/>
      <c r="H19" s="154"/>
      <c r="I19" s="154"/>
      <c r="J19" s="154"/>
      <c r="K19" s="154"/>
      <c r="L19" s="154"/>
      <c r="M19" s="154"/>
      <c r="N19" s="154"/>
      <c r="O19" s="480"/>
      <c r="P19" s="247">
        <f>'D1'!W24</f>
        <v>1</v>
      </c>
      <c r="Q19" s="191"/>
      <c r="R19" s="20"/>
      <c r="S19" s="481" t="str">
        <f>'D1'!AL24</f>
        <v>----</v>
      </c>
      <c r="T19" s="216"/>
      <c r="U19" s="216"/>
      <c r="V19" s="19"/>
      <c r="W19" s="19"/>
      <c r="X19" s="19"/>
      <c r="Y19" s="19"/>
      <c r="Z19" s="19"/>
      <c r="AA19" s="19"/>
      <c r="AB19" s="19"/>
      <c r="AC19" s="19"/>
      <c r="AD19" s="19"/>
      <c r="AE19" s="217"/>
      <c r="AI19" s="18" t="str">
        <f>IF(S19&gt;50,"","Verdiepend onderzoek naar "&amp;'D1'!L24)</f>
        <v/>
      </c>
      <c r="AJ19" s="18"/>
      <c r="AK19" s="18"/>
      <c r="AL19" s="18"/>
      <c r="AM19" s="18"/>
      <c r="AN19" s="18"/>
      <c r="AO19" s="18"/>
      <c r="AP19" s="18"/>
      <c r="AQ19" s="18"/>
      <c r="AR19" s="18"/>
      <c r="AS19" s="18"/>
      <c r="AT19" s="18"/>
      <c r="AU19" s="18"/>
      <c r="AV19" s="18"/>
      <c r="AW19" s="18"/>
      <c r="AX19" s="18"/>
      <c r="AY19" s="18"/>
      <c r="AZ19" s="18"/>
      <c r="BA19" s="18"/>
      <c r="BB19" s="18"/>
      <c r="BC19" s="18"/>
    </row>
    <row r="20" spans="2:55" ht="15.6" x14ac:dyDescent="0.3">
      <c r="B20" s="30"/>
      <c r="C20" s="130">
        <f>'D1'!K25</f>
        <v>2</v>
      </c>
      <c r="D20" s="138" t="str">
        <f>'D1'!L25</f>
        <v>Verleng de levensduur van bestaande objecten of componenten</v>
      </c>
      <c r="E20" s="138"/>
      <c r="F20" s="138"/>
      <c r="G20" s="138"/>
      <c r="H20" s="138"/>
      <c r="I20" s="139"/>
      <c r="J20" s="139"/>
      <c r="K20" s="139"/>
      <c r="L20" s="139"/>
      <c r="M20" s="139"/>
      <c r="N20" s="139"/>
      <c r="O20" s="251"/>
      <c r="P20" s="246">
        <f>'D1'!W25</f>
        <v>7.0000000000000007E-2</v>
      </c>
      <c r="Q20" s="158" t="e">
        <f>S21*P21*P20</f>
        <v>#VALUE!</v>
      </c>
      <c r="R20" s="20"/>
      <c r="S20" s="482"/>
      <c r="T20" s="216"/>
      <c r="U20" s="216"/>
      <c r="V20" s="19"/>
      <c r="W20" s="19"/>
      <c r="X20" s="19"/>
      <c r="Y20" s="19"/>
      <c r="Z20" s="19"/>
      <c r="AA20" s="19"/>
      <c r="AB20" s="19"/>
      <c r="AC20" s="19"/>
      <c r="AD20" s="19"/>
      <c r="AE20" s="217"/>
      <c r="AI20" s="18"/>
      <c r="AJ20" s="18"/>
      <c r="AK20" s="18"/>
      <c r="AL20" s="18"/>
      <c r="AM20" s="18"/>
      <c r="AN20" s="18"/>
      <c r="AO20" s="18"/>
      <c r="AP20" s="18"/>
      <c r="AQ20" s="18"/>
      <c r="AR20" s="18"/>
      <c r="AS20" s="18"/>
      <c r="AT20" s="18"/>
      <c r="AU20" s="18"/>
      <c r="AV20" s="18"/>
      <c r="AW20" s="18"/>
      <c r="AX20" s="18"/>
      <c r="AY20" s="18"/>
      <c r="AZ20" s="18"/>
      <c r="BA20" s="18"/>
      <c r="BB20" s="18"/>
      <c r="BC20" s="18"/>
    </row>
    <row r="21" spans="2:55" ht="15.6" x14ac:dyDescent="0.3">
      <c r="B21" s="30"/>
      <c r="C21" s="380" t="str">
        <f>'D1'!K26</f>
        <v>a</v>
      </c>
      <c r="D21" s="382">
        <f>'D1'!N26</f>
        <v>0</v>
      </c>
      <c r="E21" s="383"/>
      <c r="F21" s="383"/>
      <c r="G21" s="383"/>
      <c r="H21" s="383"/>
      <c r="I21" s="383"/>
      <c r="J21" s="383"/>
      <c r="K21" s="383"/>
      <c r="L21" s="383"/>
      <c r="M21" s="383"/>
      <c r="N21" s="383"/>
      <c r="O21" s="483"/>
      <c r="P21" s="247">
        <f>'D1'!W26</f>
        <v>1</v>
      </c>
      <c r="Q21" s="191"/>
      <c r="R21" s="20"/>
      <c r="S21" s="481" t="str">
        <f>'D1'!AL26</f>
        <v>----</v>
      </c>
      <c r="T21" s="216"/>
      <c r="U21" s="216"/>
      <c r="V21" s="19"/>
      <c r="W21" s="19"/>
      <c r="X21" s="19"/>
      <c r="Y21" s="19"/>
      <c r="Z21" s="19"/>
      <c r="AA21" s="19"/>
      <c r="AB21" s="19"/>
      <c r="AC21" s="19"/>
      <c r="AD21" s="19"/>
      <c r="AE21" s="217"/>
      <c r="AI21" s="18" t="str">
        <f>IF(S21&gt;50,"","Verdiepend onderzoek naar "&amp;'D1'!L26)</f>
        <v/>
      </c>
      <c r="AJ21" s="18"/>
      <c r="AK21" s="18"/>
      <c r="AL21" s="18"/>
      <c r="AM21" s="18"/>
      <c r="AN21" s="18"/>
      <c r="AO21" s="18"/>
      <c r="AP21" s="18"/>
      <c r="AQ21" s="18"/>
      <c r="AR21" s="18"/>
      <c r="AS21" s="18"/>
      <c r="AT21" s="18"/>
      <c r="AU21" s="18"/>
      <c r="AV21" s="18"/>
      <c r="AW21" s="18"/>
      <c r="AX21" s="18"/>
      <c r="AY21" s="18"/>
      <c r="AZ21" s="18"/>
      <c r="BA21" s="18"/>
      <c r="BB21" s="18"/>
      <c r="BC21" s="18"/>
    </row>
    <row r="22" spans="2:55" ht="15.6" x14ac:dyDescent="0.3">
      <c r="B22" s="30"/>
      <c r="C22" s="131">
        <f>'D1'!K27</f>
        <v>3</v>
      </c>
      <c r="D22" s="140" t="str">
        <f>'D1'!L27</f>
        <v>Duurzaam gebruik van bestaande objecten, materialen, grondstoffen en natuurlijke processen</v>
      </c>
      <c r="E22" s="140"/>
      <c r="F22" s="140"/>
      <c r="G22" s="140"/>
      <c r="H22" s="140"/>
      <c r="I22" s="140"/>
      <c r="J22" s="140"/>
      <c r="K22" s="140"/>
      <c r="L22" s="141"/>
      <c r="M22" s="141"/>
      <c r="N22" s="141"/>
      <c r="O22" s="252"/>
      <c r="P22" s="246">
        <f>'D1'!W27</f>
        <v>7.0000000000000007E-2</v>
      </c>
      <c r="Q22" s="158" t="e">
        <f>(S23*P23+S24*P24+S25*P25)*P22</f>
        <v>#VALUE!</v>
      </c>
      <c r="R22" s="20"/>
      <c r="S22" s="482"/>
      <c r="T22" s="216"/>
      <c r="U22" s="216"/>
      <c r="V22" s="19"/>
      <c r="W22" s="19"/>
      <c r="X22" s="19"/>
      <c r="Y22" s="19"/>
      <c r="Z22" s="19"/>
      <c r="AA22" s="19"/>
      <c r="AB22" s="19"/>
      <c r="AC22" s="19"/>
      <c r="AD22" s="19"/>
      <c r="AE22" s="217"/>
      <c r="AI22" s="18"/>
      <c r="AJ22" s="18"/>
      <c r="AK22" s="18"/>
      <c r="AL22" s="18"/>
      <c r="AM22" s="18"/>
      <c r="AN22" s="18"/>
      <c r="AO22" s="18"/>
      <c r="AP22" s="18"/>
      <c r="AQ22" s="18"/>
      <c r="AR22" s="18"/>
      <c r="AS22" s="18"/>
      <c r="AT22" s="18"/>
      <c r="AU22" s="18"/>
      <c r="AV22" s="18"/>
      <c r="AW22" s="18"/>
      <c r="AX22" s="18"/>
      <c r="AY22" s="18"/>
      <c r="AZ22" s="18"/>
      <c r="BA22" s="18"/>
      <c r="BB22" s="18"/>
      <c r="BC22" s="18"/>
    </row>
    <row r="23" spans="2:55" ht="15.6" x14ac:dyDescent="0.3">
      <c r="B23" s="30"/>
      <c r="C23" s="380" t="str">
        <f>'D1'!K28</f>
        <v>a</v>
      </c>
      <c r="D23" s="384">
        <f>'D1'!N28</f>
        <v>0</v>
      </c>
      <c r="E23" s="385"/>
      <c r="F23" s="385"/>
      <c r="G23" s="385"/>
      <c r="H23" s="385"/>
      <c r="I23" s="385"/>
      <c r="J23" s="385"/>
      <c r="K23" s="385"/>
      <c r="L23" s="385"/>
      <c r="M23" s="385"/>
      <c r="N23" s="385"/>
      <c r="O23" s="484"/>
      <c r="P23" s="247">
        <f>'D1'!W28</f>
        <v>0.4</v>
      </c>
      <c r="Q23" s="191"/>
      <c r="R23" s="20"/>
      <c r="S23" s="481" t="str">
        <f>'D1'!AL28</f>
        <v>----</v>
      </c>
      <c r="T23" s="216"/>
      <c r="U23" s="216"/>
      <c r="V23" s="19"/>
      <c r="W23" s="19"/>
      <c r="X23" s="19"/>
      <c r="Y23" s="19"/>
      <c r="Z23" s="19"/>
      <c r="AA23" s="19"/>
      <c r="AB23" s="19"/>
      <c r="AC23" s="19"/>
      <c r="AD23" s="19"/>
      <c r="AE23" s="217"/>
      <c r="AI23" s="18" t="str">
        <f>IF(S23&gt;50,"","Verdiepend onderzoek naar "&amp;'D1'!L28)</f>
        <v/>
      </c>
      <c r="AJ23" s="18"/>
      <c r="AK23" s="18"/>
      <c r="AL23" s="18"/>
      <c r="AM23" s="18"/>
      <c r="AN23" s="18"/>
      <c r="AO23" s="18"/>
      <c r="AP23" s="18"/>
      <c r="AQ23" s="18"/>
      <c r="AR23" s="18"/>
      <c r="AS23" s="18"/>
      <c r="AT23" s="18"/>
      <c r="AU23" s="18"/>
      <c r="AV23" s="18"/>
      <c r="AW23" s="18"/>
      <c r="AX23" s="18"/>
      <c r="AY23" s="18"/>
      <c r="AZ23" s="18"/>
      <c r="BA23" s="18"/>
      <c r="BB23" s="18"/>
      <c r="BC23" s="18"/>
    </row>
    <row r="24" spans="2:55" ht="15.6" x14ac:dyDescent="0.3">
      <c r="B24" s="30"/>
      <c r="C24" s="380" t="str">
        <f>'D1'!K29</f>
        <v>b</v>
      </c>
      <c r="D24" s="384">
        <f>'D1'!N29</f>
        <v>0</v>
      </c>
      <c r="E24" s="385"/>
      <c r="F24" s="385"/>
      <c r="G24" s="385"/>
      <c r="H24" s="385"/>
      <c r="I24" s="385"/>
      <c r="J24" s="385"/>
      <c r="K24" s="385"/>
      <c r="L24" s="385"/>
      <c r="M24" s="385"/>
      <c r="N24" s="385"/>
      <c r="O24" s="484"/>
      <c r="P24" s="247">
        <f>'D1'!W29</f>
        <v>0.4</v>
      </c>
      <c r="Q24" s="191"/>
      <c r="R24" s="20"/>
      <c r="S24" s="481" t="str">
        <f>'D1'!AL29</f>
        <v>----</v>
      </c>
      <c r="T24" s="216"/>
      <c r="U24" s="216"/>
      <c r="V24" s="19"/>
      <c r="W24" s="19"/>
      <c r="X24" s="19"/>
      <c r="Y24" s="19"/>
      <c r="Z24" s="19"/>
      <c r="AA24" s="19"/>
      <c r="AB24" s="19"/>
      <c r="AC24" s="19"/>
      <c r="AD24" s="19"/>
      <c r="AE24" s="217"/>
      <c r="AI24" s="18" t="str">
        <f>IF(S24&gt;50,"","Verdiepend onderzoek naar "&amp;'D1'!L29)</f>
        <v/>
      </c>
      <c r="AJ24" s="18"/>
      <c r="AK24" s="18"/>
      <c r="AL24" s="18"/>
      <c r="AM24" s="18"/>
      <c r="AN24" s="18"/>
      <c r="AO24" s="18"/>
      <c r="AP24" s="18"/>
      <c r="AQ24" s="18"/>
      <c r="AR24" s="18"/>
      <c r="AS24" s="18"/>
      <c r="AT24" s="18"/>
      <c r="AU24" s="18"/>
      <c r="AV24" s="18"/>
      <c r="AW24" s="18"/>
      <c r="AX24" s="18"/>
      <c r="AY24" s="18"/>
      <c r="AZ24" s="18"/>
      <c r="BA24" s="18"/>
      <c r="BB24" s="18"/>
      <c r="BC24" s="18"/>
    </row>
    <row r="25" spans="2:55" ht="15.6" x14ac:dyDescent="0.3">
      <c r="B25" s="30"/>
      <c r="C25" s="380" t="str">
        <f>'D1'!K30</f>
        <v>c</v>
      </c>
      <c r="D25" s="384">
        <f>'D1'!N30</f>
        <v>0</v>
      </c>
      <c r="E25" s="385"/>
      <c r="F25" s="385"/>
      <c r="G25" s="385"/>
      <c r="H25" s="385"/>
      <c r="I25" s="385"/>
      <c r="J25" s="385"/>
      <c r="K25" s="385"/>
      <c r="L25" s="385"/>
      <c r="M25" s="385"/>
      <c r="N25" s="385"/>
      <c r="O25" s="484"/>
      <c r="P25" s="247">
        <f>'D1'!W30</f>
        <v>0.2</v>
      </c>
      <c r="Q25" s="191"/>
      <c r="R25" s="20"/>
      <c r="S25" s="481" t="str">
        <f>'D1'!AL30</f>
        <v>----</v>
      </c>
      <c r="T25" s="216"/>
      <c r="U25" s="216"/>
      <c r="V25" s="19"/>
      <c r="W25" s="19"/>
      <c r="X25" s="19"/>
      <c r="Y25" s="19"/>
      <c r="Z25" s="19"/>
      <c r="AA25" s="19"/>
      <c r="AB25" s="19"/>
      <c r="AC25" s="19"/>
      <c r="AD25" s="19"/>
      <c r="AE25" s="217"/>
      <c r="AI25" s="18" t="str">
        <f>IF(S25&gt;50,"","Verdiepend onderzoek naar "&amp;'D1'!L30)</f>
        <v/>
      </c>
      <c r="AJ25" s="18"/>
      <c r="AK25" s="18"/>
      <c r="AL25" s="18"/>
      <c r="AM25" s="18"/>
      <c r="AN25" s="18"/>
      <c r="AO25" s="18"/>
      <c r="AP25" s="18"/>
      <c r="AQ25" s="18"/>
      <c r="AR25" s="18"/>
      <c r="AS25" s="18"/>
      <c r="AT25" s="18"/>
      <c r="AU25" s="18"/>
      <c r="AV25" s="18"/>
      <c r="AW25" s="18"/>
      <c r="AX25" s="18"/>
      <c r="AY25" s="18"/>
      <c r="AZ25" s="18"/>
      <c r="BA25" s="18"/>
      <c r="BB25" s="18"/>
      <c r="BC25" s="18"/>
    </row>
    <row r="26" spans="2:55" ht="15.6" x14ac:dyDescent="0.3">
      <c r="B26" s="30"/>
      <c r="C26" s="162">
        <f>'D1'!K31</f>
        <v>4</v>
      </c>
      <c r="D26" s="163" t="str">
        <f>'D1'!L31</f>
        <v>Ontwerp voor meerdere levenscycli</v>
      </c>
      <c r="E26" s="142"/>
      <c r="F26" s="142"/>
      <c r="G26" s="143"/>
      <c r="H26" s="143"/>
      <c r="I26" s="143"/>
      <c r="J26" s="143"/>
      <c r="K26" s="143"/>
      <c r="L26" s="143"/>
      <c r="M26" s="143"/>
      <c r="N26" s="143"/>
      <c r="O26" s="253"/>
      <c r="P26" s="246">
        <f>'D1'!W31</f>
        <v>7.0000000000000007E-2</v>
      </c>
      <c r="Q26" s="158" t="e">
        <f>(S27*P27+S28*P28)*P26</f>
        <v>#VALUE!</v>
      </c>
      <c r="R26" s="20"/>
      <c r="S26" s="482"/>
      <c r="T26" s="216"/>
      <c r="U26" s="216"/>
      <c r="V26" s="19"/>
      <c r="W26" s="19"/>
      <c r="X26" s="19"/>
      <c r="Y26" s="19"/>
      <c r="Z26" s="19"/>
      <c r="AA26" s="19"/>
      <c r="AB26" s="19"/>
      <c r="AC26" s="19"/>
      <c r="AD26" s="19"/>
      <c r="AE26" s="217"/>
      <c r="AI26" s="18"/>
      <c r="AJ26" s="18"/>
      <c r="AK26" s="18"/>
      <c r="AL26" s="18"/>
      <c r="AM26" s="18"/>
      <c r="AN26" s="18"/>
      <c r="AO26" s="18"/>
      <c r="AP26" s="18"/>
      <c r="AQ26" s="18"/>
      <c r="AR26" s="18"/>
      <c r="AS26" s="18"/>
      <c r="AT26" s="18"/>
      <c r="AU26" s="18"/>
      <c r="AV26" s="18"/>
      <c r="AW26" s="18"/>
      <c r="AX26" s="18"/>
      <c r="AY26" s="18"/>
      <c r="AZ26" s="18"/>
      <c r="BA26" s="18"/>
      <c r="BB26" s="18"/>
      <c r="BC26" s="18"/>
    </row>
    <row r="27" spans="2:55" ht="15.6" x14ac:dyDescent="0.3">
      <c r="B27" s="30"/>
      <c r="C27" s="380" t="str">
        <f>'D1'!K32</f>
        <v>a</v>
      </c>
      <c r="D27" s="386">
        <f>'D1'!N32</f>
        <v>0</v>
      </c>
      <c r="E27" s="387"/>
      <c r="F27" s="387"/>
      <c r="G27" s="387"/>
      <c r="H27" s="387"/>
      <c r="I27" s="387"/>
      <c r="J27" s="387"/>
      <c r="K27" s="387"/>
      <c r="L27" s="387"/>
      <c r="M27" s="387"/>
      <c r="N27" s="387"/>
      <c r="O27" s="485"/>
      <c r="P27" s="247">
        <f>'D1'!W32</f>
        <v>0.9</v>
      </c>
      <c r="Q27" s="191"/>
      <c r="R27" s="20"/>
      <c r="S27" s="481" t="str">
        <f>'D1'!AL32</f>
        <v>----</v>
      </c>
      <c r="T27" s="216"/>
      <c r="U27" s="216"/>
      <c r="V27" s="19"/>
      <c r="W27" s="19"/>
      <c r="X27" s="19"/>
      <c r="Y27" s="19"/>
      <c r="Z27" s="19"/>
      <c r="AA27" s="19"/>
      <c r="AB27" s="19"/>
      <c r="AC27" s="19"/>
      <c r="AD27" s="19"/>
      <c r="AE27" s="217"/>
      <c r="AI27" s="18" t="str">
        <f>IF(S27&gt;50,"","Verdiepend onderzoek naar "&amp;'D1'!L32)</f>
        <v/>
      </c>
      <c r="AJ27" s="18"/>
      <c r="AK27" s="18"/>
      <c r="AL27" s="18"/>
      <c r="AM27" s="18"/>
      <c r="AN27" s="18"/>
      <c r="AO27" s="18"/>
      <c r="AP27" s="18"/>
      <c r="AQ27" s="18"/>
      <c r="AR27" s="18"/>
      <c r="AS27" s="18"/>
      <c r="AT27" s="18"/>
      <c r="AU27" s="18"/>
      <c r="AV27" s="18"/>
      <c r="AW27" s="18"/>
      <c r="AX27" s="18"/>
      <c r="AY27" s="18"/>
      <c r="AZ27" s="18"/>
      <c r="BA27" s="18"/>
      <c r="BB27" s="18"/>
      <c r="BC27" s="18"/>
    </row>
    <row r="28" spans="2:55" ht="15.6" x14ac:dyDescent="0.3">
      <c r="B28" s="30"/>
      <c r="C28" s="380" t="str">
        <f>'D1'!K33</f>
        <v>b</v>
      </c>
      <c r="D28" s="386">
        <f>'D1'!N33</f>
        <v>0</v>
      </c>
      <c r="E28" s="387"/>
      <c r="F28" s="387"/>
      <c r="G28" s="387"/>
      <c r="H28" s="387"/>
      <c r="I28" s="387"/>
      <c r="J28" s="387"/>
      <c r="K28" s="387"/>
      <c r="L28" s="387"/>
      <c r="M28" s="387"/>
      <c r="N28" s="387"/>
      <c r="O28" s="485"/>
      <c r="P28" s="247">
        <f>'D1'!W33</f>
        <v>0.1</v>
      </c>
      <c r="Q28" s="191"/>
      <c r="R28" s="20"/>
      <c r="S28" s="481" t="str">
        <f>'D1'!AL33</f>
        <v>----</v>
      </c>
      <c r="T28" s="216"/>
      <c r="U28" s="216"/>
      <c r="V28" s="19"/>
      <c r="W28" s="19"/>
      <c r="X28" s="19"/>
      <c r="Y28" s="19"/>
      <c r="Z28" s="19"/>
      <c r="AA28" s="19"/>
      <c r="AB28" s="19"/>
      <c r="AC28" s="19"/>
      <c r="AD28" s="19"/>
      <c r="AE28" s="217"/>
      <c r="AI28" s="18" t="str">
        <f>IF(S28&gt;50,"","Verdiepend onderzoek naar "&amp;'D1'!L33)</f>
        <v/>
      </c>
      <c r="AJ28" s="18"/>
      <c r="AK28" s="18"/>
      <c r="AL28" s="18"/>
      <c r="AM28" s="18"/>
      <c r="AN28" s="18"/>
      <c r="AO28" s="18"/>
      <c r="AP28" s="18"/>
      <c r="AQ28" s="18"/>
      <c r="AR28" s="18"/>
      <c r="AS28" s="18"/>
      <c r="AT28" s="18"/>
      <c r="AU28" s="18"/>
      <c r="AV28" s="18"/>
      <c r="AW28" s="18"/>
      <c r="AX28" s="18"/>
      <c r="AY28" s="18"/>
      <c r="AZ28" s="18"/>
      <c r="BA28" s="18"/>
      <c r="BB28" s="18"/>
      <c r="BC28" s="18"/>
    </row>
    <row r="29" spans="2:55" ht="15.6" x14ac:dyDescent="0.3">
      <c r="B29" s="30"/>
      <c r="C29" s="132">
        <f>'D1'!K34</f>
        <v>5</v>
      </c>
      <c r="D29" s="144" t="str">
        <f>'D1'!L34</f>
        <v>Ontwerp toekomstbestendig</v>
      </c>
      <c r="E29" s="144"/>
      <c r="F29" s="145"/>
      <c r="G29" s="145"/>
      <c r="H29" s="145"/>
      <c r="I29" s="145"/>
      <c r="J29" s="145"/>
      <c r="K29" s="145"/>
      <c r="L29" s="145"/>
      <c r="M29" s="145"/>
      <c r="N29" s="145"/>
      <c r="O29" s="254"/>
      <c r="P29" s="246">
        <f>'D1'!W34</f>
        <v>0.1</v>
      </c>
      <c r="Q29" s="158" t="e">
        <f>P29*P30*S30</f>
        <v>#VALUE!</v>
      </c>
      <c r="R29" s="20"/>
      <c r="S29" s="482"/>
      <c r="T29" s="216"/>
      <c r="U29" s="216"/>
      <c r="V29" s="19"/>
      <c r="W29" s="19"/>
      <c r="X29" s="19"/>
      <c r="Y29" s="19"/>
      <c r="Z29" s="19"/>
      <c r="AA29" s="19"/>
      <c r="AB29" s="19"/>
      <c r="AC29" s="19"/>
      <c r="AD29" s="19"/>
      <c r="AE29" s="217"/>
      <c r="AI29" s="18"/>
      <c r="AJ29" s="18"/>
      <c r="AK29" s="18"/>
      <c r="AL29" s="18"/>
      <c r="AM29" s="18"/>
      <c r="AN29" s="18"/>
      <c r="AO29" s="18"/>
      <c r="AP29" s="18"/>
      <c r="AQ29" s="18"/>
      <c r="AR29" s="18"/>
      <c r="AS29" s="18"/>
      <c r="AT29" s="18"/>
      <c r="AU29" s="18"/>
      <c r="AV29" s="18"/>
      <c r="AW29" s="18"/>
      <c r="AX29" s="18"/>
      <c r="AY29" s="18"/>
      <c r="AZ29" s="18"/>
      <c r="BA29" s="18"/>
      <c r="BB29" s="18"/>
      <c r="BC29" s="18"/>
    </row>
    <row r="30" spans="2:55" ht="15.6" x14ac:dyDescent="0.3">
      <c r="B30" s="30"/>
      <c r="C30" s="380" t="str">
        <f>'D1'!K35</f>
        <v>a</v>
      </c>
      <c r="D30" s="388">
        <f>'D1'!N35</f>
        <v>0</v>
      </c>
      <c r="E30" s="19"/>
      <c r="F30" s="19"/>
      <c r="G30" s="19"/>
      <c r="H30" s="19"/>
      <c r="I30" s="19"/>
      <c r="J30" s="19"/>
      <c r="K30" s="19"/>
      <c r="L30" s="19"/>
      <c r="M30" s="19"/>
      <c r="N30" s="19"/>
      <c r="O30" s="486"/>
      <c r="P30" s="247">
        <f>'D1'!W35</f>
        <v>1</v>
      </c>
      <c r="Q30" s="191"/>
      <c r="R30" s="20"/>
      <c r="S30" s="481" t="str">
        <f>'D1'!AL35</f>
        <v>----</v>
      </c>
      <c r="T30" s="216"/>
      <c r="U30" s="216"/>
      <c r="V30" s="19"/>
      <c r="W30" s="19"/>
      <c r="X30" s="19"/>
      <c r="Y30" s="19"/>
      <c r="Z30" s="19"/>
      <c r="AA30" s="19"/>
      <c r="AB30" s="19"/>
      <c r="AC30" s="19"/>
      <c r="AD30" s="19"/>
      <c r="AE30" s="217"/>
      <c r="AI30" s="18" t="str">
        <f>IF(S30&gt;50,"","Verdiepend onderzoek naar "&amp;'D1'!L35)</f>
        <v/>
      </c>
      <c r="AJ30" s="18"/>
      <c r="AK30" s="18"/>
      <c r="AL30" s="18"/>
      <c r="AM30" s="18"/>
      <c r="AN30" s="18"/>
      <c r="AO30" s="18"/>
      <c r="AP30" s="18"/>
      <c r="AQ30" s="18"/>
      <c r="AR30" s="18"/>
      <c r="AS30" s="18"/>
      <c r="AT30" s="18"/>
      <c r="AU30" s="18"/>
      <c r="AV30" s="18"/>
      <c r="AW30" s="18"/>
      <c r="AX30" s="18"/>
      <c r="AY30" s="18"/>
      <c r="AZ30" s="18"/>
      <c r="BA30" s="18"/>
      <c r="BB30" s="18"/>
      <c r="BC30" s="18"/>
    </row>
    <row r="31" spans="2:55" ht="15.6" x14ac:dyDescent="0.3">
      <c r="B31" s="30"/>
      <c r="C31" s="133">
        <f>'D1'!K36</f>
        <v>6</v>
      </c>
      <c r="D31" s="146" t="str">
        <f>'D1'!L36</f>
        <v xml:space="preserve">Ontwerp voor optimaal beheer en onderhoud </v>
      </c>
      <c r="E31" s="146"/>
      <c r="F31" s="146"/>
      <c r="G31" s="146"/>
      <c r="H31" s="147"/>
      <c r="I31" s="147"/>
      <c r="J31" s="147"/>
      <c r="K31" s="147"/>
      <c r="L31" s="147"/>
      <c r="M31" s="147"/>
      <c r="N31" s="147"/>
      <c r="O31" s="255"/>
      <c r="P31" s="246">
        <f>'D1'!W36</f>
        <v>7.0000000000000007E-2</v>
      </c>
      <c r="Q31" s="158" t="e">
        <f>P31*P32*S32</f>
        <v>#VALUE!</v>
      </c>
      <c r="R31" s="20"/>
      <c r="S31" s="482"/>
      <c r="T31" s="216"/>
      <c r="U31" s="216"/>
      <c r="V31" s="19"/>
      <c r="W31" s="19"/>
      <c r="X31" s="19"/>
      <c r="Y31" s="19"/>
      <c r="Z31" s="19"/>
      <c r="AA31" s="19"/>
      <c r="AB31" s="19"/>
      <c r="AC31" s="19"/>
      <c r="AD31" s="19"/>
      <c r="AE31" s="217"/>
      <c r="AI31" s="18"/>
      <c r="AJ31" s="18"/>
      <c r="AK31" s="18"/>
      <c r="AL31" s="18"/>
      <c r="AM31" s="18"/>
      <c r="AN31" s="18"/>
      <c r="AO31" s="18"/>
      <c r="AP31" s="18"/>
      <c r="AQ31" s="18"/>
      <c r="AR31" s="18"/>
      <c r="AS31" s="18"/>
      <c r="AT31" s="18"/>
      <c r="AU31" s="18"/>
      <c r="AV31" s="18"/>
      <c r="AW31" s="18"/>
      <c r="AX31" s="18"/>
      <c r="AY31" s="18"/>
      <c r="AZ31" s="18"/>
      <c r="BA31" s="18"/>
      <c r="BB31" s="18"/>
      <c r="BC31" s="18"/>
    </row>
    <row r="32" spans="2:55" ht="15.6" x14ac:dyDescent="0.3">
      <c r="B32" s="30"/>
      <c r="C32" s="380" t="str">
        <f>'D1'!K37</f>
        <v>a</v>
      </c>
      <c r="D32" s="649">
        <f>'D1'!N37</f>
        <v>0</v>
      </c>
      <c r="E32" s="650"/>
      <c r="F32" s="650"/>
      <c r="G32" s="650"/>
      <c r="H32" s="650"/>
      <c r="I32" s="650"/>
      <c r="J32" s="650"/>
      <c r="K32" s="650"/>
      <c r="L32" s="650"/>
      <c r="M32" s="650"/>
      <c r="N32" s="650"/>
      <c r="O32" s="651"/>
      <c r="P32" s="247">
        <f>'D1'!W37</f>
        <v>1</v>
      </c>
      <c r="Q32" s="191"/>
      <c r="R32" s="20"/>
      <c r="S32" s="481" t="str">
        <f>'D1'!AL37</f>
        <v>----</v>
      </c>
      <c r="T32" s="216"/>
      <c r="U32" s="216"/>
      <c r="V32" s="19"/>
      <c r="W32" s="19"/>
      <c r="X32" s="19"/>
      <c r="Y32" s="19"/>
      <c r="Z32" s="19"/>
      <c r="AA32" s="19"/>
      <c r="AB32" s="19"/>
      <c r="AC32" s="19"/>
      <c r="AD32" s="19"/>
      <c r="AE32" s="217"/>
      <c r="AI32" s="18" t="str">
        <f>IF(S32&gt;50,"","Verdiepend onderzoek naar "&amp;'D1'!L37)</f>
        <v/>
      </c>
      <c r="AJ32" s="18"/>
      <c r="AK32" s="18"/>
      <c r="AL32" s="18"/>
      <c r="AM32" s="18"/>
      <c r="AN32" s="18"/>
      <c r="AO32" s="18"/>
      <c r="AP32" s="18"/>
      <c r="AQ32" s="18"/>
      <c r="AR32" s="18"/>
      <c r="AS32" s="18"/>
      <c r="AT32" s="18"/>
      <c r="AU32" s="18"/>
      <c r="AV32" s="18"/>
      <c r="AW32" s="18"/>
      <c r="AX32" s="18"/>
      <c r="AY32" s="18"/>
      <c r="AZ32" s="18"/>
      <c r="BA32" s="18"/>
      <c r="BB32" s="18"/>
      <c r="BC32" s="18"/>
    </row>
    <row r="33" spans="2:55" ht="15.6" x14ac:dyDescent="0.3">
      <c r="B33" s="30"/>
      <c r="C33" s="134">
        <f>'D1'!K38</f>
        <v>7</v>
      </c>
      <c r="D33" s="148" t="str">
        <f>'D1'!L38</f>
        <v>Duurzaam materiaalgebruik (hoeveel x milieubelasting)</v>
      </c>
      <c r="E33" s="148"/>
      <c r="F33" s="148"/>
      <c r="G33" s="148"/>
      <c r="H33" s="149"/>
      <c r="I33" s="149"/>
      <c r="J33" s="149"/>
      <c r="K33" s="149"/>
      <c r="L33" s="149"/>
      <c r="M33" s="149"/>
      <c r="N33" s="149"/>
      <c r="O33" s="256"/>
      <c r="P33" s="246">
        <f>'D1'!W38</f>
        <v>0.25</v>
      </c>
      <c r="Q33" s="158" t="e">
        <f>(S34*P34+S35*P35)*P33</f>
        <v>#VALUE!</v>
      </c>
      <c r="R33" s="20"/>
      <c r="S33" s="482"/>
      <c r="T33" s="216"/>
      <c r="U33" s="216"/>
      <c r="V33" s="19"/>
      <c r="W33" s="19"/>
      <c r="X33" s="19"/>
      <c r="Y33" s="19"/>
      <c r="Z33" s="19"/>
      <c r="AA33" s="19"/>
      <c r="AB33" s="19"/>
      <c r="AC33" s="19"/>
      <c r="AD33" s="19"/>
      <c r="AE33" s="217"/>
      <c r="AI33" s="18"/>
      <c r="AJ33" s="18"/>
      <c r="AK33" s="18"/>
      <c r="AL33" s="18"/>
      <c r="AM33" s="18"/>
      <c r="AN33" s="18"/>
      <c r="AO33" s="18"/>
      <c r="AP33" s="18"/>
      <c r="AQ33" s="18"/>
      <c r="AR33" s="18"/>
      <c r="AS33" s="18"/>
      <c r="AT33" s="18"/>
      <c r="AU33" s="18"/>
      <c r="AV33" s="18"/>
      <c r="AW33" s="18"/>
      <c r="AX33" s="18"/>
      <c r="AY33" s="18"/>
      <c r="AZ33" s="18"/>
      <c r="BA33" s="18"/>
      <c r="BB33" s="18"/>
      <c r="BC33" s="18"/>
    </row>
    <row r="34" spans="2:55" ht="15.6" x14ac:dyDescent="0.3">
      <c r="B34" s="30"/>
      <c r="C34" s="380" t="str">
        <f>'D1'!K39</f>
        <v>a</v>
      </c>
      <c r="D34" s="389">
        <f>'D1'!N39</f>
        <v>0</v>
      </c>
      <c r="E34" s="390"/>
      <c r="F34" s="390"/>
      <c r="G34" s="390"/>
      <c r="H34" s="390"/>
      <c r="I34" s="390"/>
      <c r="J34" s="390"/>
      <c r="K34" s="390"/>
      <c r="L34" s="390"/>
      <c r="M34" s="390"/>
      <c r="N34" s="390"/>
      <c r="O34" s="487"/>
      <c r="P34" s="247">
        <f>'D1'!W39</f>
        <v>0.8</v>
      </c>
      <c r="Q34" s="191"/>
      <c r="R34" s="20"/>
      <c r="S34" s="481" t="str">
        <f>'D1'!AL39</f>
        <v>----</v>
      </c>
      <c r="T34" s="216"/>
      <c r="U34" s="216"/>
      <c r="V34" s="19"/>
      <c r="W34" s="19"/>
      <c r="X34" s="19"/>
      <c r="Y34" s="19"/>
      <c r="Z34" s="19"/>
      <c r="AA34" s="19"/>
      <c r="AB34" s="19"/>
      <c r="AC34" s="19"/>
      <c r="AD34" s="19"/>
      <c r="AE34" s="217"/>
      <c r="AI34" s="18" t="str">
        <f>IF(S34&gt;50,"","Verdiepend onderzoek naar "&amp;'D1'!L39)</f>
        <v/>
      </c>
      <c r="AJ34" s="18"/>
      <c r="AK34" s="18"/>
      <c r="AL34" s="18"/>
      <c r="AM34" s="18"/>
      <c r="AN34" s="18"/>
      <c r="AO34" s="18"/>
      <c r="AP34" s="18"/>
      <c r="AQ34" s="18"/>
      <c r="AR34" s="18"/>
      <c r="AS34" s="18"/>
      <c r="AT34" s="18"/>
      <c r="AU34" s="18"/>
      <c r="AV34" s="18"/>
      <c r="AW34" s="18"/>
      <c r="AX34" s="18"/>
      <c r="AY34" s="18"/>
      <c r="AZ34" s="18"/>
      <c r="BA34" s="18"/>
      <c r="BB34" s="18"/>
      <c r="BC34" s="18"/>
    </row>
    <row r="35" spans="2:55" ht="15.6" x14ac:dyDescent="0.3">
      <c r="B35" s="30"/>
      <c r="C35" s="380" t="str">
        <f>'D1'!K40</f>
        <v>b</v>
      </c>
      <c r="D35" s="389">
        <f>'D1'!N40</f>
        <v>0</v>
      </c>
      <c r="E35" s="390"/>
      <c r="F35" s="390"/>
      <c r="G35" s="390"/>
      <c r="H35" s="390"/>
      <c r="I35" s="390"/>
      <c r="J35" s="390"/>
      <c r="K35" s="390"/>
      <c r="L35" s="390"/>
      <c r="M35" s="390"/>
      <c r="N35" s="390"/>
      <c r="O35" s="487"/>
      <c r="P35" s="247">
        <f>'D1'!W40</f>
        <v>0.19999999999999996</v>
      </c>
      <c r="Q35" s="191"/>
      <c r="R35" s="20"/>
      <c r="S35" s="481" t="str">
        <f>'D1'!AL40</f>
        <v>----</v>
      </c>
      <c r="T35" s="216"/>
      <c r="U35" s="216"/>
      <c r="V35" s="19"/>
      <c r="W35" s="19"/>
      <c r="X35" s="19"/>
      <c r="Y35" s="19"/>
      <c r="Z35" s="19"/>
      <c r="AA35" s="19"/>
      <c r="AB35" s="19"/>
      <c r="AC35" s="19"/>
      <c r="AD35" s="19"/>
      <c r="AE35" s="217"/>
      <c r="AI35" s="18" t="str">
        <f>IF(S35&gt;50,"","Verdiepend onderzoek naar "&amp;'D1'!L40)</f>
        <v/>
      </c>
      <c r="AJ35" s="18"/>
      <c r="AK35" s="18"/>
      <c r="AL35" s="18"/>
      <c r="AM35" s="18"/>
      <c r="AN35" s="18"/>
      <c r="AO35" s="18"/>
      <c r="AP35" s="18"/>
      <c r="AQ35" s="18"/>
      <c r="AR35" s="18"/>
      <c r="AS35" s="18"/>
      <c r="AT35" s="18"/>
      <c r="AU35" s="18"/>
      <c r="AV35" s="18"/>
      <c r="AW35" s="18"/>
      <c r="AX35" s="18"/>
      <c r="AY35" s="18"/>
      <c r="AZ35" s="18"/>
      <c r="BA35" s="18"/>
      <c r="BB35" s="18"/>
      <c r="BC35" s="18"/>
    </row>
    <row r="36" spans="2:55" ht="15.6" x14ac:dyDescent="0.3">
      <c r="B36" s="30"/>
      <c r="C36" s="135">
        <f>'D1'!K41</f>
        <v>8</v>
      </c>
      <c r="D36" s="150" t="str">
        <f>'D1'!L41</f>
        <v>Ontwerp voor minimaal grondstof- en energiegebruik in de aanleg/gebruiksfase</v>
      </c>
      <c r="E36" s="150"/>
      <c r="F36" s="150"/>
      <c r="G36" s="150"/>
      <c r="H36" s="150"/>
      <c r="I36" s="150"/>
      <c r="J36" s="150"/>
      <c r="K36" s="151"/>
      <c r="L36" s="151"/>
      <c r="M36" s="151"/>
      <c r="N36" s="151"/>
      <c r="O36" s="257"/>
      <c r="P36" s="246">
        <f>'D1'!W41</f>
        <v>0.1</v>
      </c>
      <c r="Q36" s="158" t="e">
        <f>P36*P37*S37</f>
        <v>#VALUE!</v>
      </c>
      <c r="R36" s="20"/>
      <c r="S36" s="482"/>
      <c r="T36" s="216"/>
      <c r="U36" s="216"/>
      <c r="V36" s="19"/>
      <c r="W36" s="19"/>
      <c r="X36" s="19"/>
      <c r="Y36" s="19"/>
      <c r="Z36" s="19"/>
      <c r="AA36" s="19"/>
      <c r="AB36" s="19"/>
      <c r="AC36" s="19"/>
      <c r="AD36" s="19"/>
      <c r="AE36" s="217"/>
      <c r="AI36" s="18"/>
      <c r="AJ36" s="18"/>
      <c r="AK36" s="18"/>
      <c r="AL36" s="18"/>
      <c r="AM36" s="18"/>
      <c r="AN36" s="18"/>
      <c r="AO36" s="18"/>
      <c r="AP36" s="18"/>
      <c r="AQ36" s="18"/>
      <c r="AR36" s="18"/>
      <c r="AS36" s="18"/>
      <c r="AT36" s="18"/>
      <c r="AU36" s="18"/>
      <c r="AV36" s="18"/>
      <c r="AW36" s="18"/>
      <c r="AX36" s="18"/>
      <c r="AY36" s="18"/>
      <c r="AZ36" s="18"/>
      <c r="BA36" s="18"/>
      <c r="BB36" s="18"/>
      <c r="BC36" s="18"/>
    </row>
    <row r="37" spans="2:55" ht="16.2" thickBot="1" x14ac:dyDescent="0.35">
      <c r="B37" s="30"/>
      <c r="C37" s="391" t="str">
        <f>'D1'!K42</f>
        <v>a</v>
      </c>
      <c r="D37" s="394">
        <f>'D1'!N42</f>
        <v>0</v>
      </c>
      <c r="E37" s="392"/>
      <c r="F37" s="392"/>
      <c r="G37" s="392"/>
      <c r="H37" s="392"/>
      <c r="I37" s="392"/>
      <c r="J37" s="392"/>
      <c r="K37" s="392"/>
      <c r="L37" s="392"/>
      <c r="M37" s="392"/>
      <c r="N37" s="392"/>
      <c r="O37" s="393"/>
      <c r="P37" s="248">
        <f>'D1'!W42</f>
        <v>1</v>
      </c>
      <c r="Q37" s="192"/>
      <c r="R37" s="20"/>
      <c r="S37" s="481" t="str">
        <f>'D1'!AL42</f>
        <v>----</v>
      </c>
      <c r="T37" s="216" t="str">
        <f>IF(S37&lt;75,'info weging'!I157,"")</f>
        <v/>
      </c>
      <c r="U37" s="216"/>
      <c r="V37" s="19"/>
      <c r="W37" s="19"/>
      <c r="X37" s="19"/>
      <c r="Y37" s="19"/>
      <c r="Z37" s="19"/>
      <c r="AA37" s="19"/>
      <c r="AB37" s="19"/>
      <c r="AC37" s="19"/>
      <c r="AD37" s="19"/>
      <c r="AE37" s="217"/>
      <c r="AI37" s="18" t="str">
        <f>IF(S37&gt;50,"","Verdiepend onderzoek naar "&amp;'D1'!L42)</f>
        <v/>
      </c>
      <c r="AJ37" s="18"/>
      <c r="AK37" s="18"/>
      <c r="AL37" s="18"/>
      <c r="AM37" s="18"/>
      <c r="AN37" s="18"/>
      <c r="AO37" s="18"/>
      <c r="AP37" s="18"/>
      <c r="AQ37" s="18"/>
      <c r="AR37" s="18"/>
      <c r="AS37" s="18"/>
      <c r="AT37" s="18"/>
      <c r="AU37" s="18"/>
      <c r="AV37" s="18"/>
      <c r="AW37" s="18"/>
      <c r="AX37" s="18"/>
      <c r="AY37" s="18"/>
      <c r="AZ37" s="18"/>
      <c r="BA37" s="18"/>
      <c r="BB37" s="18"/>
      <c r="BC37" s="18"/>
    </row>
    <row r="38" spans="2:55" ht="16.2" thickBot="1" x14ac:dyDescent="0.35">
      <c r="B38" s="30"/>
      <c r="C38" s="193" t="s">
        <v>143</v>
      </c>
      <c r="D38" s="194"/>
      <c r="E38" s="194"/>
      <c r="F38" s="194"/>
      <c r="G38" s="194"/>
      <c r="H38" s="194"/>
      <c r="I38" s="194"/>
      <c r="J38" s="194"/>
      <c r="K38" s="194"/>
      <c r="L38" s="194"/>
      <c r="M38" s="194"/>
      <c r="N38" s="194"/>
      <c r="O38" s="258"/>
      <c r="P38" s="249">
        <v>1</v>
      </c>
      <c r="Q38" s="195" t="e">
        <f>SUM(Q18:Q37)</f>
        <v>#VALUE!</v>
      </c>
      <c r="R38" s="20"/>
      <c r="S38" s="488"/>
      <c r="T38" s="216"/>
      <c r="U38" s="216"/>
      <c r="V38" s="19"/>
      <c r="W38" s="19"/>
      <c r="X38" s="19"/>
      <c r="Y38" s="19"/>
      <c r="Z38" s="19"/>
      <c r="AA38" s="19"/>
      <c r="AB38" s="19"/>
      <c r="AC38" s="19"/>
      <c r="AD38" s="19"/>
      <c r="AE38" s="217"/>
      <c r="AI38" s="18"/>
      <c r="AJ38" s="18"/>
      <c r="AK38" s="18"/>
      <c r="AL38" s="18"/>
      <c r="AM38" s="18"/>
      <c r="AN38" s="18"/>
      <c r="AO38" s="18"/>
      <c r="AP38" s="18"/>
      <c r="AQ38" s="18"/>
      <c r="AR38" s="18"/>
      <c r="AS38" s="18"/>
      <c r="AT38" s="18"/>
      <c r="AU38" s="18"/>
      <c r="AV38" s="18"/>
      <c r="AW38" s="18"/>
      <c r="AX38" s="18"/>
      <c r="AY38" s="18"/>
      <c r="AZ38" s="18"/>
      <c r="BA38" s="18"/>
      <c r="BB38" s="18"/>
      <c r="BC38" s="18"/>
    </row>
    <row r="39" spans="2:55" ht="16.2" thickBot="1" x14ac:dyDescent="0.35">
      <c r="B39" s="30"/>
      <c r="C39" s="640" t="s">
        <v>321</v>
      </c>
      <c r="D39" s="164" t="s">
        <v>358</v>
      </c>
      <c r="E39" s="164"/>
      <c r="F39" s="164"/>
      <c r="G39" s="164"/>
      <c r="H39" s="164"/>
      <c r="I39" s="164"/>
      <c r="J39" s="164"/>
      <c r="K39" s="164"/>
      <c r="L39" s="164"/>
      <c r="M39" s="164"/>
      <c r="N39" s="209"/>
      <c r="O39" s="724"/>
      <c r="P39" s="250">
        <v>1</v>
      </c>
      <c r="Q39" s="190">
        <f>'D1'!AP44</f>
        <v>0</v>
      </c>
      <c r="R39" s="20"/>
      <c r="S39" s="488"/>
      <c r="T39" s="216"/>
      <c r="U39" s="216"/>
      <c r="V39" s="19"/>
      <c r="W39" s="19"/>
      <c r="X39" s="19"/>
      <c r="Y39" s="19"/>
      <c r="Z39" s="19"/>
      <c r="AA39" s="19"/>
      <c r="AB39" s="19"/>
      <c r="AC39" s="19"/>
      <c r="AD39" s="19"/>
      <c r="AE39" s="217"/>
      <c r="AI39" s="18" t="str">
        <f>IF('D1'!AR44=0,"",'D1'!AR44)</f>
        <v/>
      </c>
      <c r="AJ39" s="18"/>
      <c r="AK39" s="18"/>
      <c r="AL39" s="18"/>
      <c r="AM39" s="18"/>
      <c r="AN39" s="18"/>
      <c r="AO39" s="18"/>
      <c r="AP39" s="18"/>
      <c r="AQ39" s="18"/>
      <c r="AR39" s="18"/>
      <c r="AS39" s="18"/>
      <c r="AT39" s="18"/>
      <c r="AU39" s="18"/>
      <c r="AV39" s="18"/>
      <c r="AW39" s="18"/>
      <c r="AX39" s="18"/>
      <c r="AY39" s="18"/>
      <c r="AZ39" s="18"/>
      <c r="BA39" s="18"/>
      <c r="BB39" s="18"/>
      <c r="BC39" s="18"/>
    </row>
    <row r="40" spans="2:55" ht="16.2" thickBot="1" x14ac:dyDescent="0.35">
      <c r="B40" s="30"/>
      <c r="C40" s="197" t="s">
        <v>144</v>
      </c>
      <c r="D40" s="198"/>
      <c r="E40" s="198"/>
      <c r="F40" s="198"/>
      <c r="G40" s="198"/>
      <c r="H40" s="198"/>
      <c r="I40" s="198"/>
      <c r="J40" s="198"/>
      <c r="K40" s="198"/>
      <c r="L40" s="198"/>
      <c r="M40" s="198"/>
      <c r="N40" s="208"/>
      <c r="O40" s="199"/>
      <c r="P40" s="198"/>
      <c r="Q40" s="200" t="e">
        <f>Q38+Q39</f>
        <v>#VALUE!</v>
      </c>
      <c r="R40" s="20"/>
      <c r="S40" s="488"/>
      <c r="T40" s="218"/>
      <c r="U40" s="218"/>
      <c r="V40" s="219"/>
      <c r="W40" s="219"/>
      <c r="X40" s="219"/>
      <c r="Y40" s="219"/>
      <c r="Z40" s="219"/>
      <c r="AA40" s="219"/>
      <c r="AB40" s="219"/>
      <c r="AC40" s="219"/>
      <c r="AD40" s="219"/>
      <c r="AE40" s="220"/>
      <c r="AI40" s="355"/>
      <c r="AJ40" s="355"/>
      <c r="AK40" s="355"/>
      <c r="AL40" s="355"/>
      <c r="AM40" s="355"/>
      <c r="AN40" s="355"/>
      <c r="AO40" s="355"/>
      <c r="AP40" s="355"/>
      <c r="AQ40" s="355"/>
      <c r="AR40" s="355"/>
      <c r="AS40" s="355"/>
      <c r="AT40" s="355"/>
      <c r="AU40" s="355"/>
      <c r="AV40" s="355"/>
      <c r="AW40" s="355"/>
      <c r="AX40" s="355"/>
      <c r="AY40" s="355"/>
      <c r="AZ40" s="355"/>
      <c r="BA40" s="355"/>
      <c r="BB40" s="355"/>
      <c r="BC40" s="355"/>
    </row>
    <row r="41" spans="2:55" x14ac:dyDescent="0.3">
      <c r="B41" s="31"/>
      <c r="C41" s="489" t="s">
        <v>145</v>
      </c>
      <c r="D41" s="38"/>
      <c r="E41" s="38"/>
      <c r="F41" s="38"/>
      <c r="G41" s="38"/>
      <c r="H41" s="38"/>
      <c r="I41" s="38"/>
      <c r="J41" s="38"/>
      <c r="K41" s="38"/>
      <c r="L41" s="38"/>
      <c r="M41" s="38"/>
      <c r="N41" s="490">
        <v>0</v>
      </c>
      <c r="O41" s="491">
        <v>100</v>
      </c>
      <c r="P41" s="643" t="s">
        <v>323</v>
      </c>
      <c r="Q41" s="644" t="e">
        <f>100-Q40</f>
        <v>#VALUE!</v>
      </c>
      <c r="R41" s="38"/>
      <c r="S41" s="125"/>
    </row>
    <row r="42" spans="2:55" x14ac:dyDescent="0.3">
      <c r="H42" s="109"/>
      <c r="I42" s="109"/>
      <c r="J42" s="109"/>
      <c r="K42" s="109"/>
      <c r="L42" s="109"/>
      <c r="M42" s="109"/>
      <c r="N42" s="109"/>
      <c r="P42" s="109"/>
      <c r="Q42" s="109"/>
    </row>
  </sheetData>
  <sheetProtection algorithmName="SHA-512" hashValue="AEZhh+mQSdB4mDa3H/17BQvpqm7Y3po/kJYm7A/YBBwivHgxwjdCapgFLuSoSJRPGjZUVyBVrE32KyG1ypiRWg==" saltValue="awJvGMVhfzptatHu230i+Q==" spinCount="100000" sheet="1" objects="1" scenarios="1"/>
  <conditionalFormatting sqref="R3:R5">
    <cfRule type="colorScale" priority="35">
      <colorScale>
        <cfvo type="min"/>
        <cfvo type="percentile" val="50"/>
        <cfvo type="max"/>
        <color rgb="FFF8696B"/>
        <color rgb="FFFFEB84"/>
        <color rgb="FF63BE7B"/>
      </colorScale>
    </cfRule>
  </conditionalFormatting>
  <conditionalFormatting sqref="N18:N37 N39:N40 O26">
    <cfRule type="iconSet" priority="33">
      <iconSet iconSet="4TrafficLights">
        <cfvo type="percent" val="0"/>
        <cfvo type="num" val="25" gte="0"/>
        <cfvo type="num" val="50" gte="0"/>
        <cfvo type="num" val="75" gte="0"/>
      </iconSet>
    </cfRule>
    <cfRule type="iconSet" priority="34">
      <iconSet iconSet="4TrafficLights">
        <cfvo type="percent" val="0"/>
        <cfvo type="num" val="0"/>
        <cfvo type="num" val="0"/>
        <cfvo type="num" val="76"/>
      </iconSet>
    </cfRule>
  </conditionalFormatting>
  <conditionalFormatting sqref="S20 S22 S26 S29 S31 S33 S36">
    <cfRule type="iconSet" priority="31">
      <iconSet iconSet="4TrafficLights">
        <cfvo type="percent" val="0"/>
        <cfvo type="num" val="25" gte="0"/>
        <cfvo type="num" val="50" gte="0"/>
        <cfvo type="num" val="75" gte="0"/>
      </iconSet>
    </cfRule>
    <cfRule type="iconSet" priority="32">
      <iconSet iconSet="4TrafficLights">
        <cfvo type="percent" val="0"/>
        <cfvo type="num" val="0"/>
        <cfvo type="num" val="0"/>
        <cfvo type="num" val="76"/>
      </iconSet>
    </cfRule>
  </conditionalFormatting>
  <conditionalFormatting sqref="O29">
    <cfRule type="iconSet" priority="29">
      <iconSet iconSet="4TrafficLights">
        <cfvo type="percent" val="0"/>
        <cfvo type="num" val="25" gte="0"/>
        <cfvo type="num" val="50" gte="0"/>
        <cfvo type="num" val="75" gte="0"/>
      </iconSet>
    </cfRule>
    <cfRule type="iconSet" priority="30">
      <iconSet iconSet="4TrafficLights">
        <cfvo type="percent" val="0"/>
        <cfvo type="num" val="0"/>
        <cfvo type="num" val="0"/>
        <cfvo type="num" val="76"/>
      </iconSet>
    </cfRule>
  </conditionalFormatting>
  <conditionalFormatting sqref="O31">
    <cfRule type="iconSet" priority="27">
      <iconSet iconSet="4TrafficLights">
        <cfvo type="percent" val="0"/>
        <cfvo type="num" val="25" gte="0"/>
        <cfvo type="num" val="50" gte="0"/>
        <cfvo type="num" val="75" gte="0"/>
      </iconSet>
    </cfRule>
    <cfRule type="iconSet" priority="28">
      <iconSet iconSet="4TrafficLights">
        <cfvo type="percent" val="0"/>
        <cfvo type="num" val="0"/>
        <cfvo type="num" val="0"/>
        <cfvo type="num" val="76"/>
      </iconSet>
    </cfRule>
  </conditionalFormatting>
  <conditionalFormatting sqref="O33">
    <cfRule type="iconSet" priority="25">
      <iconSet iconSet="4TrafficLights">
        <cfvo type="percent" val="0"/>
        <cfvo type="num" val="25" gte="0"/>
        <cfvo type="num" val="50" gte="0"/>
        <cfvo type="num" val="75" gte="0"/>
      </iconSet>
    </cfRule>
    <cfRule type="iconSet" priority="26">
      <iconSet iconSet="4TrafficLights">
        <cfvo type="percent" val="0"/>
        <cfvo type="num" val="0"/>
        <cfvo type="num" val="0"/>
        <cfvo type="num" val="76"/>
      </iconSet>
    </cfRule>
  </conditionalFormatting>
  <conditionalFormatting sqref="O36">
    <cfRule type="iconSet" priority="23">
      <iconSet iconSet="4TrafficLights">
        <cfvo type="percent" val="0"/>
        <cfvo type="num" val="25" gte="0"/>
        <cfvo type="num" val="50" gte="0"/>
        <cfvo type="num" val="75" gte="0"/>
      </iconSet>
    </cfRule>
    <cfRule type="iconSet" priority="24">
      <iconSet iconSet="4TrafficLights">
        <cfvo type="percent" val="0"/>
        <cfvo type="num" val="0"/>
        <cfvo type="num" val="0"/>
        <cfvo type="num" val="76"/>
      </iconSet>
    </cfRule>
  </conditionalFormatting>
  <conditionalFormatting sqref="S19 S21 S23:S25 S27:S28 S30 S32 S34:S35 S37">
    <cfRule type="iconSet" priority="22">
      <iconSet>
        <cfvo type="percent" val="0"/>
        <cfvo type="num" val="50"/>
        <cfvo type="num" val="75"/>
      </iconSet>
    </cfRule>
  </conditionalFormatting>
  <conditionalFormatting sqref="O5">
    <cfRule type="iconSet" priority="7">
      <iconSet>
        <cfvo type="percent" val="0"/>
        <cfvo type="percent" val="25"/>
        <cfvo type="percent" val="75"/>
      </iconSet>
    </cfRule>
  </conditionalFormatting>
  <conditionalFormatting sqref="P5">
    <cfRule type="iconSet" priority="6">
      <iconSet>
        <cfvo type="percent" val="0"/>
        <cfvo type="percent" val="25"/>
        <cfvo type="percent" val="75"/>
      </iconSet>
    </cfRule>
  </conditionalFormatting>
  <conditionalFormatting sqref="Q5">
    <cfRule type="iconSet" priority="3">
      <iconSet>
        <cfvo type="percent" val="0"/>
        <cfvo type="percent" val="25"/>
        <cfvo type="percent" val="75"/>
      </iconSet>
    </cfRule>
    <cfRule type="iconSet" priority="4">
      <iconSet>
        <cfvo type="percent" val="0"/>
        <cfvo type="percent" val="33"/>
        <cfvo type="percent" val="67"/>
      </iconSet>
    </cfRule>
    <cfRule type="iconSet" priority="5">
      <iconSet>
        <cfvo type="percent" val="0"/>
        <cfvo type="percent" val="25"/>
        <cfvo type="percent" val="75"/>
      </iconSet>
    </cfRule>
  </conditionalFormatting>
  <conditionalFormatting sqref="O5:Q5">
    <cfRule type="iconSet" priority="1">
      <iconSet>
        <cfvo type="percent" val="0"/>
        <cfvo type="num" val="0.26"/>
        <cfvo type="num" val="0.75"/>
      </iconSet>
    </cfRule>
    <cfRule type="iconSet" priority="2">
      <iconSet>
        <cfvo type="percent" val="0"/>
        <cfvo type="percent" val="33"/>
        <cfvo type="percent" val="67"/>
      </iconSet>
    </cfRule>
  </conditionalFormatting>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1DA0B554-655D-4A49-96AB-2C60927B431D}">
          <x14:formula1>
            <xm:f>'info weging'!$H$175:$H$181</xm:f>
          </x14:formula1>
          <xm:sqref>T4:T5</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09C98-337F-4BC7-9C33-94A95E9B7493}">
  <sheetPr>
    <tabColor theme="8" tint="-0.499984740745262"/>
  </sheetPr>
  <dimension ref="A1:N182"/>
  <sheetViews>
    <sheetView showGridLines="0" showRowColHeaders="0" zoomScale="70" zoomScaleNormal="70" workbookViewId="0">
      <selection activeCell="H8" sqref="H8"/>
    </sheetView>
  </sheetViews>
  <sheetFormatPr defaultColWidth="8.88671875" defaultRowHeight="14.4" x14ac:dyDescent="0.3"/>
  <cols>
    <col min="1" max="1" width="154.88671875" style="308" customWidth="1"/>
    <col min="2" max="3" width="9.6640625" style="308" bestFit="1" customWidth="1"/>
    <col min="4" max="6" width="8.88671875" style="308"/>
    <col min="7" max="8" width="8.88671875" style="308" customWidth="1"/>
    <col min="9" max="9" width="115.6640625" style="308" hidden="1" customWidth="1"/>
    <col min="10" max="10" width="5.6640625" style="308" customWidth="1"/>
    <col min="11" max="11" width="255.6640625" style="308" customWidth="1"/>
    <col min="12" max="16384" width="8.88671875" style="308"/>
  </cols>
  <sheetData>
    <row r="1" spans="1:14" x14ac:dyDescent="0.3">
      <c r="B1" s="309"/>
      <c r="C1" s="309"/>
      <c r="D1" s="309"/>
      <c r="E1" s="309"/>
      <c r="F1" s="309"/>
      <c r="G1" s="309"/>
      <c r="H1" s="309"/>
      <c r="L1" s="310"/>
      <c r="M1" s="310"/>
      <c r="N1" s="310"/>
    </row>
    <row r="2" spans="1:14" ht="21" x14ac:dyDescent="0.4">
      <c r="A2" s="311" t="s">
        <v>382</v>
      </c>
    </row>
    <row r="4" spans="1:14" s="312" customFormat="1" ht="31.8" thickBot="1" x14ac:dyDescent="0.65">
      <c r="A4" s="312" t="s">
        <v>435</v>
      </c>
    </row>
    <row r="5" spans="1:14" ht="88.8" x14ac:dyDescent="0.3">
      <c r="A5" s="313" t="s">
        <v>29</v>
      </c>
      <c r="B5" s="314" t="s">
        <v>30</v>
      </c>
      <c r="C5" s="314" t="s">
        <v>31</v>
      </c>
      <c r="D5" s="314" t="s">
        <v>32</v>
      </c>
      <c r="E5" s="314" t="s">
        <v>33</v>
      </c>
      <c r="F5" s="314" t="s">
        <v>34</v>
      </c>
      <c r="G5" s="314" t="s">
        <v>35</v>
      </c>
      <c r="H5" s="728" t="s">
        <v>39</v>
      </c>
    </row>
    <row r="6" spans="1:14" x14ac:dyDescent="0.3">
      <c r="A6" s="315" t="s">
        <v>393</v>
      </c>
      <c r="B6" s="316">
        <f t="shared" ref="B6" si="0">SUM(B26,B23,B21,B19,B16,B12,B10,B8)</f>
        <v>1</v>
      </c>
      <c r="C6" s="316">
        <f t="shared" ref="C6:G6" si="1">SUM(C26,C23,C21,C19,C16,C12,C10,C8)</f>
        <v>1.0000000000000002</v>
      </c>
      <c r="D6" s="316">
        <f t="shared" si="1"/>
        <v>1</v>
      </c>
      <c r="E6" s="316">
        <f t="shared" si="1"/>
        <v>1</v>
      </c>
      <c r="F6" s="316">
        <f t="shared" si="1"/>
        <v>1.0000000000000002</v>
      </c>
      <c r="G6" s="316">
        <f t="shared" si="1"/>
        <v>1</v>
      </c>
      <c r="H6" s="729">
        <f>SUM(H26,H23,H21,H19,H16,H12,H10,H8)</f>
        <v>1</v>
      </c>
    </row>
    <row r="7" spans="1:14" x14ac:dyDescent="0.3">
      <c r="A7" s="317" t="s">
        <v>167</v>
      </c>
      <c r="B7" s="318">
        <f t="shared" ref="B7" si="2">(1/8)*SUM(B9,B11,B13,B14,B15,B17,B18,B20,B22,B24,B25,B27)</f>
        <v>1</v>
      </c>
      <c r="C7" s="318">
        <f t="shared" ref="C7:G7" si="3">(1/8)*SUM(C9,C11,C13,C14,C15,C17,C18,C20,C22,C24,C25,C27)</f>
        <v>1</v>
      </c>
      <c r="D7" s="318">
        <f t="shared" si="3"/>
        <v>1</v>
      </c>
      <c r="E7" s="318">
        <f t="shared" si="3"/>
        <v>1</v>
      </c>
      <c r="F7" s="318">
        <f t="shared" si="3"/>
        <v>1</v>
      </c>
      <c r="G7" s="318">
        <f t="shared" si="3"/>
        <v>1</v>
      </c>
      <c r="H7" s="730">
        <f>(1/8)*SUM(H9,H11,H13,H14,H15,H17,H18,H20,H22,H24,H25,H27)</f>
        <v>1</v>
      </c>
    </row>
    <row r="8" spans="1:14" x14ac:dyDescent="0.3">
      <c r="A8" s="319" t="s">
        <v>385</v>
      </c>
      <c r="B8" s="320">
        <v>0.3</v>
      </c>
      <c r="C8" s="320">
        <v>0.27</v>
      </c>
      <c r="D8" s="320">
        <v>0.15</v>
      </c>
      <c r="E8" s="320">
        <v>0.15</v>
      </c>
      <c r="F8" s="320">
        <v>0.05</v>
      </c>
      <c r="G8" s="320">
        <v>0.01</v>
      </c>
      <c r="H8" s="731">
        <v>0.125</v>
      </c>
    </row>
    <row r="9" spans="1:14" x14ac:dyDescent="0.3">
      <c r="A9" s="321" t="s">
        <v>168</v>
      </c>
      <c r="B9" s="322">
        <v>1</v>
      </c>
      <c r="C9" s="322">
        <v>1</v>
      </c>
      <c r="D9" s="322">
        <v>1</v>
      </c>
      <c r="E9" s="322">
        <v>1</v>
      </c>
      <c r="F9" s="322">
        <v>1</v>
      </c>
      <c r="G9" s="322">
        <v>1</v>
      </c>
      <c r="H9" s="732">
        <v>1</v>
      </c>
    </row>
    <row r="10" spans="1:14" x14ac:dyDescent="0.3">
      <c r="A10" s="319" t="s">
        <v>386</v>
      </c>
      <c r="B10" s="320">
        <v>0.25</v>
      </c>
      <c r="C10" s="320">
        <v>7.0000000000000007E-2</v>
      </c>
      <c r="D10" s="320">
        <v>7.0000000000000007E-2</v>
      </c>
      <c r="E10" s="320">
        <v>0.05</v>
      </c>
      <c r="F10" s="320">
        <v>0.05</v>
      </c>
      <c r="G10" s="320">
        <v>0.25</v>
      </c>
      <c r="H10" s="731">
        <v>0.125</v>
      </c>
    </row>
    <row r="11" spans="1:14" x14ac:dyDescent="0.3">
      <c r="A11" s="321" t="s">
        <v>169</v>
      </c>
      <c r="B11" s="322">
        <v>1</v>
      </c>
      <c r="C11" s="322">
        <v>1</v>
      </c>
      <c r="D11" s="322">
        <v>1</v>
      </c>
      <c r="E11" s="322">
        <v>1</v>
      </c>
      <c r="F11" s="322">
        <v>1</v>
      </c>
      <c r="G11" s="322">
        <v>1</v>
      </c>
      <c r="H11" s="732">
        <v>1</v>
      </c>
    </row>
    <row r="12" spans="1:14" x14ac:dyDescent="0.3">
      <c r="A12" s="319" t="s">
        <v>387</v>
      </c>
      <c r="B12" s="320">
        <v>0.13</v>
      </c>
      <c r="C12" s="320">
        <v>7.0000000000000007E-2</v>
      </c>
      <c r="D12" s="320">
        <v>0.15</v>
      </c>
      <c r="E12" s="320">
        <v>0.2</v>
      </c>
      <c r="F12" s="320">
        <v>0.25</v>
      </c>
      <c r="G12" s="320">
        <v>0.2</v>
      </c>
      <c r="H12" s="731">
        <v>0.125</v>
      </c>
    </row>
    <row r="13" spans="1:14" x14ac:dyDescent="0.3">
      <c r="A13" s="321" t="s">
        <v>170</v>
      </c>
      <c r="B13" s="322">
        <v>0.6</v>
      </c>
      <c r="C13" s="322">
        <v>0.4</v>
      </c>
      <c r="D13" s="322">
        <v>0.4</v>
      </c>
      <c r="E13" s="322">
        <v>0.3</v>
      </c>
      <c r="F13" s="322">
        <v>0.2</v>
      </c>
      <c r="G13" s="322">
        <v>0.2</v>
      </c>
      <c r="H13" s="732">
        <v>0.4</v>
      </c>
    </row>
    <row r="14" spans="1:14" x14ac:dyDescent="0.3">
      <c r="A14" s="321" t="s">
        <v>171</v>
      </c>
      <c r="B14" s="322">
        <v>0.1</v>
      </c>
      <c r="C14" s="322">
        <v>0.4</v>
      </c>
      <c r="D14" s="322">
        <v>0.4</v>
      </c>
      <c r="E14" s="322">
        <v>0.6</v>
      </c>
      <c r="F14" s="322">
        <v>0.7</v>
      </c>
      <c r="G14" s="322">
        <v>0.7</v>
      </c>
      <c r="H14" s="732">
        <v>0.4</v>
      </c>
    </row>
    <row r="15" spans="1:14" x14ac:dyDescent="0.3">
      <c r="A15" s="321" t="s">
        <v>172</v>
      </c>
      <c r="B15" s="322">
        <v>0.3</v>
      </c>
      <c r="C15" s="322">
        <v>0.2</v>
      </c>
      <c r="D15" s="322">
        <v>0.2</v>
      </c>
      <c r="E15" s="322">
        <v>0.1</v>
      </c>
      <c r="F15" s="322">
        <v>0.1</v>
      </c>
      <c r="G15" s="322">
        <v>0.1</v>
      </c>
      <c r="H15" s="732">
        <v>0.2</v>
      </c>
    </row>
    <row r="16" spans="1:14" x14ac:dyDescent="0.3">
      <c r="A16" s="319" t="s">
        <v>388</v>
      </c>
      <c r="B16" s="320">
        <v>0.05</v>
      </c>
      <c r="C16" s="320">
        <v>7.0000000000000007E-2</v>
      </c>
      <c r="D16" s="320">
        <v>0.1</v>
      </c>
      <c r="E16" s="320">
        <v>0.1</v>
      </c>
      <c r="F16" s="320">
        <v>0.15</v>
      </c>
      <c r="G16" s="320">
        <v>0.15</v>
      </c>
      <c r="H16" s="731">
        <v>0.125</v>
      </c>
    </row>
    <row r="17" spans="1:11" x14ac:dyDescent="0.3">
      <c r="A17" s="321" t="s">
        <v>173</v>
      </c>
      <c r="B17" s="322">
        <f t="shared" ref="B17:G17" si="4">1-B18</f>
        <v>0.9</v>
      </c>
      <c r="C17" s="322">
        <f t="shared" si="4"/>
        <v>0.9</v>
      </c>
      <c r="D17" s="322">
        <f t="shared" si="4"/>
        <v>0.9</v>
      </c>
      <c r="E17" s="322">
        <v>0.8</v>
      </c>
      <c r="F17" s="322">
        <f t="shared" si="4"/>
        <v>0.5</v>
      </c>
      <c r="G17" s="322">
        <f t="shared" si="4"/>
        <v>0.5</v>
      </c>
      <c r="H17" s="732">
        <f>1-H18</f>
        <v>0.9</v>
      </c>
    </row>
    <row r="18" spans="1:11" x14ac:dyDescent="0.3">
      <c r="A18" s="321" t="s">
        <v>174</v>
      </c>
      <c r="B18" s="322">
        <v>0.1</v>
      </c>
      <c r="C18" s="322">
        <v>0.1</v>
      </c>
      <c r="D18" s="322">
        <v>0.1</v>
      </c>
      <c r="E18" s="322">
        <v>0.2</v>
      </c>
      <c r="F18" s="322">
        <v>0.5</v>
      </c>
      <c r="G18" s="322">
        <v>0.5</v>
      </c>
      <c r="H18" s="732">
        <v>0.1</v>
      </c>
    </row>
    <row r="19" spans="1:11" x14ac:dyDescent="0.3">
      <c r="A19" s="319" t="s">
        <v>389</v>
      </c>
      <c r="B19" s="320">
        <v>0.15</v>
      </c>
      <c r="C19" s="320">
        <v>0.1</v>
      </c>
      <c r="D19" s="320">
        <v>0.1</v>
      </c>
      <c r="E19" s="320">
        <v>0.05</v>
      </c>
      <c r="F19" s="320">
        <v>0.05</v>
      </c>
      <c r="G19" s="320">
        <v>0.05</v>
      </c>
      <c r="H19" s="731">
        <v>0.125</v>
      </c>
    </row>
    <row r="20" spans="1:11" x14ac:dyDescent="0.3">
      <c r="A20" s="321" t="s">
        <v>175</v>
      </c>
      <c r="B20" s="322">
        <v>1</v>
      </c>
      <c r="C20" s="322">
        <v>1</v>
      </c>
      <c r="D20" s="322">
        <v>1</v>
      </c>
      <c r="E20" s="322">
        <v>1</v>
      </c>
      <c r="F20" s="322">
        <v>1</v>
      </c>
      <c r="G20" s="322">
        <v>1</v>
      </c>
      <c r="H20" s="732">
        <v>1</v>
      </c>
    </row>
    <row r="21" spans="1:11" x14ac:dyDescent="0.3">
      <c r="A21" s="319" t="s">
        <v>390</v>
      </c>
      <c r="B21" s="320">
        <v>0.05</v>
      </c>
      <c r="C21" s="320">
        <v>7.0000000000000007E-2</v>
      </c>
      <c r="D21" s="320">
        <v>0.13</v>
      </c>
      <c r="E21" s="320">
        <v>0.15</v>
      </c>
      <c r="F21" s="320">
        <v>0.15</v>
      </c>
      <c r="G21" s="320">
        <v>0.2</v>
      </c>
      <c r="H21" s="731">
        <v>0.125</v>
      </c>
    </row>
    <row r="22" spans="1:11" x14ac:dyDescent="0.3">
      <c r="A22" s="321" t="s">
        <v>176</v>
      </c>
      <c r="B22" s="322">
        <v>1</v>
      </c>
      <c r="C22" s="322">
        <v>1</v>
      </c>
      <c r="D22" s="322">
        <v>1</v>
      </c>
      <c r="E22" s="322">
        <v>1</v>
      </c>
      <c r="F22" s="322">
        <v>1</v>
      </c>
      <c r="G22" s="322">
        <v>1</v>
      </c>
      <c r="H22" s="732">
        <v>1</v>
      </c>
    </row>
    <row r="23" spans="1:11" x14ac:dyDescent="0.3">
      <c r="A23" s="319" t="s">
        <v>391</v>
      </c>
      <c r="B23" s="320">
        <v>0.05</v>
      </c>
      <c r="C23" s="320">
        <v>0.25</v>
      </c>
      <c r="D23" s="320">
        <v>0.2</v>
      </c>
      <c r="E23" s="320">
        <v>0.2</v>
      </c>
      <c r="F23" s="320">
        <v>0.2</v>
      </c>
      <c r="G23" s="320">
        <v>0.04</v>
      </c>
      <c r="H23" s="731">
        <v>0.125</v>
      </c>
    </row>
    <row r="24" spans="1:11" x14ac:dyDescent="0.3">
      <c r="A24" s="321" t="s">
        <v>355</v>
      </c>
      <c r="B24" s="322">
        <v>0.5</v>
      </c>
      <c r="C24" s="322">
        <v>0.8</v>
      </c>
      <c r="D24" s="322">
        <v>0.5</v>
      </c>
      <c r="E24" s="322">
        <v>0.5</v>
      </c>
      <c r="F24" s="322">
        <v>0.5</v>
      </c>
      <c r="G24" s="322">
        <v>0.5</v>
      </c>
      <c r="H24" s="732">
        <v>0.8</v>
      </c>
    </row>
    <row r="25" spans="1:11" x14ac:dyDescent="0.3">
      <c r="A25" s="321" t="s">
        <v>356</v>
      </c>
      <c r="B25" s="322">
        <f t="shared" ref="B25" si="5">1-B24</f>
        <v>0.5</v>
      </c>
      <c r="C25" s="322">
        <f t="shared" ref="C25:G25" si="6">1-C24</f>
        <v>0.19999999999999996</v>
      </c>
      <c r="D25" s="322">
        <f t="shared" si="6"/>
        <v>0.5</v>
      </c>
      <c r="E25" s="322">
        <f t="shared" si="6"/>
        <v>0.5</v>
      </c>
      <c r="F25" s="322">
        <f t="shared" si="6"/>
        <v>0.5</v>
      </c>
      <c r="G25" s="322">
        <f t="shared" si="6"/>
        <v>0.5</v>
      </c>
      <c r="H25" s="732">
        <f>1-H24</f>
        <v>0.19999999999999996</v>
      </c>
    </row>
    <row r="26" spans="1:11" x14ac:dyDescent="0.3">
      <c r="A26" s="319" t="s">
        <v>392</v>
      </c>
      <c r="B26" s="320">
        <v>0.02</v>
      </c>
      <c r="C26" s="320">
        <v>0.1</v>
      </c>
      <c r="D26" s="320">
        <v>0.1</v>
      </c>
      <c r="E26" s="320">
        <v>0.1</v>
      </c>
      <c r="F26" s="320">
        <v>0.1</v>
      </c>
      <c r="G26" s="320">
        <v>0.1</v>
      </c>
      <c r="H26" s="731">
        <v>0.125</v>
      </c>
    </row>
    <row r="27" spans="1:11" ht="15" thickBot="1" x14ac:dyDescent="0.35">
      <c r="A27" s="323" t="s">
        <v>357</v>
      </c>
      <c r="B27" s="322">
        <v>1</v>
      </c>
      <c r="C27" s="322">
        <v>1</v>
      </c>
      <c r="D27" s="322">
        <v>1</v>
      </c>
      <c r="E27" s="322">
        <v>1</v>
      </c>
      <c r="F27" s="322">
        <v>1</v>
      </c>
      <c r="G27" s="322">
        <v>1</v>
      </c>
      <c r="H27" s="733">
        <v>1</v>
      </c>
    </row>
    <row r="28" spans="1:11" x14ac:dyDescent="0.3">
      <c r="A28" s="324" t="s">
        <v>414</v>
      </c>
      <c r="B28" s="726"/>
      <c r="C28" s="726"/>
      <c r="D28" s="726"/>
      <c r="E28" s="726"/>
      <c r="F28" s="726"/>
      <c r="G28" s="726"/>
      <c r="H28" s="309">
        <f>SUM(H8,H10,H12,H16,H19,H21,H23,H26)</f>
        <v>1</v>
      </c>
    </row>
    <row r="29" spans="1:11" x14ac:dyDescent="0.3">
      <c r="A29" s="324" t="s">
        <v>177</v>
      </c>
      <c r="B29" s="727"/>
      <c r="C29" s="727"/>
      <c r="E29" s="753" t="str">
        <f>IF(H28=100%,"","Let op: som van de percentages in de gele cellen moet 100% zijn")</f>
        <v/>
      </c>
      <c r="G29" s="727"/>
    </row>
    <row r="31" spans="1:11" s="312" customFormat="1" ht="31.2" x14ac:dyDescent="0.6">
      <c r="A31" s="312" t="s">
        <v>178</v>
      </c>
    </row>
    <row r="32" spans="1:11" ht="88.8" x14ac:dyDescent="0.3">
      <c r="A32" s="325" t="s">
        <v>29</v>
      </c>
      <c r="B32" s="326" t="s">
        <v>30</v>
      </c>
      <c r="C32" s="326" t="s">
        <v>31</v>
      </c>
      <c r="D32" s="326" t="s">
        <v>32</v>
      </c>
      <c r="E32" s="326" t="s">
        <v>33</v>
      </c>
      <c r="F32" s="326" t="s">
        <v>34</v>
      </c>
      <c r="G32" s="326" t="s">
        <v>35</v>
      </c>
      <c r="H32" s="327" t="s">
        <v>39</v>
      </c>
      <c r="K32" s="310" t="s">
        <v>179</v>
      </c>
    </row>
    <row r="33" spans="1:11" x14ac:dyDescent="0.3">
      <c r="A33" s="328" t="s">
        <v>394</v>
      </c>
      <c r="B33" s="329">
        <f t="shared" ref="B33" si="7">B8</f>
        <v>0.3</v>
      </c>
      <c r="C33" s="329">
        <f t="shared" ref="C33:G33" si="8">C8</f>
        <v>0.27</v>
      </c>
      <c r="D33" s="329">
        <f t="shared" si="8"/>
        <v>0.15</v>
      </c>
      <c r="E33" s="329">
        <f t="shared" si="8"/>
        <v>0.15</v>
      </c>
      <c r="F33" s="329">
        <f t="shared" si="8"/>
        <v>0.05</v>
      </c>
      <c r="G33" s="329">
        <f t="shared" si="8"/>
        <v>0.01</v>
      </c>
      <c r="H33" s="329">
        <f>H8</f>
        <v>0.125</v>
      </c>
    </row>
    <row r="34" spans="1:11" x14ac:dyDescent="0.3">
      <c r="A34" s="330" t="s">
        <v>180</v>
      </c>
      <c r="B34" s="331">
        <f t="shared" ref="B34" si="9">B9</f>
        <v>1</v>
      </c>
      <c r="C34" s="331">
        <f t="shared" ref="C34:G34" si="10">C9</f>
        <v>1</v>
      </c>
      <c r="D34" s="331">
        <f t="shared" si="10"/>
        <v>1</v>
      </c>
      <c r="E34" s="331">
        <f t="shared" si="10"/>
        <v>1</v>
      </c>
      <c r="F34" s="331">
        <f t="shared" si="10"/>
        <v>1</v>
      </c>
      <c r="G34" s="331">
        <f t="shared" si="10"/>
        <v>1</v>
      </c>
      <c r="H34" s="331">
        <f>H9</f>
        <v>1</v>
      </c>
    </row>
    <row r="35" spans="1:11" x14ac:dyDescent="0.3">
      <c r="A35" s="330" t="s">
        <v>413</v>
      </c>
      <c r="B35" s="332">
        <f t="shared" ref="B35" si="11">B33*B34</f>
        <v>0.3</v>
      </c>
      <c r="C35" s="332">
        <f t="shared" ref="C35:G35" si="12">C33*C34</f>
        <v>0.27</v>
      </c>
      <c r="D35" s="332">
        <f t="shared" si="12"/>
        <v>0.15</v>
      </c>
      <c r="E35" s="332">
        <f t="shared" si="12"/>
        <v>0.15</v>
      </c>
      <c r="F35" s="332">
        <f t="shared" si="12"/>
        <v>0.05</v>
      </c>
      <c r="G35" s="332">
        <f t="shared" si="12"/>
        <v>0.01</v>
      </c>
      <c r="H35" s="332">
        <f>H33*H34</f>
        <v>0.125</v>
      </c>
      <c r="I35" s="308" t="s">
        <v>181</v>
      </c>
      <c r="K35" s="308" t="s">
        <v>182</v>
      </c>
    </row>
    <row r="36" spans="1:11" x14ac:dyDescent="0.3">
      <c r="A36" s="333" t="s">
        <v>183</v>
      </c>
      <c r="B36" s="334">
        <v>100</v>
      </c>
      <c r="C36" s="334">
        <v>100</v>
      </c>
      <c r="D36" s="334">
        <v>100</v>
      </c>
      <c r="E36" s="334">
        <v>100</v>
      </c>
      <c r="F36" s="334">
        <v>100</v>
      </c>
      <c r="G36" s="334">
        <v>100</v>
      </c>
      <c r="H36" s="334">
        <v>100</v>
      </c>
      <c r="I36" s="335" t="s">
        <v>184</v>
      </c>
      <c r="J36" s="335"/>
      <c r="K36" s="335" t="str">
        <f>A36</f>
        <v xml:space="preserve">maximaal aantal punten (ongewogen) voor: opgaveverkleining </v>
      </c>
    </row>
    <row r="37" spans="1:11" x14ac:dyDescent="0.3">
      <c r="A37" s="336" t="str">
        <f>I37</f>
        <v>Opgaveverkleining niet onderzocht</v>
      </c>
      <c r="B37" s="337">
        <v>0</v>
      </c>
      <c r="C37" s="337">
        <v>0</v>
      </c>
      <c r="D37" s="337">
        <v>0</v>
      </c>
      <c r="E37" s="337">
        <v>0</v>
      </c>
      <c r="F37" s="337">
        <v>0</v>
      </c>
      <c r="G37" s="337">
        <v>0</v>
      </c>
      <c r="H37" s="337">
        <v>0</v>
      </c>
      <c r="I37" s="308" t="s">
        <v>185</v>
      </c>
      <c r="K37" s="338" t="s">
        <v>186</v>
      </c>
    </row>
    <row r="38" spans="1:11" x14ac:dyDescent="0.3">
      <c r="A38" s="336" t="str">
        <f t="shared" ref="A38:A41" si="13">I38</f>
        <v>Opgaveverkleining via efficiëntere oplossingen + meekoppelkansen onderzocht (verkennend onderzoek; géén MKI berekeningen)</v>
      </c>
      <c r="B38" s="337">
        <v>25</v>
      </c>
      <c r="C38" s="337">
        <v>25</v>
      </c>
      <c r="D38" s="337">
        <v>25</v>
      </c>
      <c r="E38" s="337">
        <v>25</v>
      </c>
      <c r="F38" s="337">
        <v>25</v>
      </c>
      <c r="G38" s="337">
        <v>25</v>
      </c>
      <c r="H38" s="337">
        <v>25</v>
      </c>
      <c r="I38" s="339" t="s">
        <v>187</v>
      </c>
      <c r="J38" s="339"/>
      <c r="K38" s="338" t="s">
        <v>188</v>
      </c>
    </row>
    <row r="39" spans="1:11" x14ac:dyDescent="0.3">
      <c r="A39" s="336" t="str">
        <f t="shared" si="13"/>
        <v>Opgaveverkleining via efficiëntere oplossingen + meekoppelkansen onderzocht (verkennend onderzoek; MKI o.b.v. kentallen)</v>
      </c>
      <c r="B39" s="337">
        <v>50</v>
      </c>
      <c r="C39" s="337">
        <v>50</v>
      </c>
      <c r="D39" s="337">
        <v>50</v>
      </c>
      <c r="E39" s="337">
        <v>50</v>
      </c>
      <c r="F39" s="337">
        <v>50</v>
      </c>
      <c r="G39" s="337">
        <v>50</v>
      </c>
      <c r="H39" s="337">
        <v>50</v>
      </c>
      <c r="I39" s="339" t="s">
        <v>62</v>
      </c>
      <c r="J39" s="339"/>
      <c r="K39" s="338" t="s">
        <v>189</v>
      </c>
    </row>
    <row r="40" spans="1:11" x14ac:dyDescent="0.3">
      <c r="A40" s="336" t="str">
        <f t="shared" si="13"/>
        <v>&gt;10% opgaveverkleining door efficiëntere oplossingen/meekoppelkansen/functionaliteitsverbetering/innovaties (MKI o.b.v. kentallen)</v>
      </c>
      <c r="B40" s="337">
        <v>75</v>
      </c>
      <c r="C40" s="337">
        <v>75</v>
      </c>
      <c r="D40" s="337">
        <v>75</v>
      </c>
      <c r="E40" s="337">
        <v>75</v>
      </c>
      <c r="F40" s="337">
        <v>75</v>
      </c>
      <c r="G40" s="337">
        <v>75</v>
      </c>
      <c r="H40" s="337">
        <v>75</v>
      </c>
      <c r="I40" s="340" t="s">
        <v>150</v>
      </c>
      <c r="J40" s="339"/>
      <c r="K40" s="338" t="s">
        <v>190</v>
      </c>
    </row>
    <row r="41" spans="1:11" x14ac:dyDescent="0.3">
      <c r="A41" s="336" t="str">
        <f t="shared" si="13"/>
        <v>&gt;20% opgaveverkleining door efficiëntere oplossingen/meekoppelkansen/functionaliteitsverbetering/innovaties (MKI o.b.v. kentallen)</v>
      </c>
      <c r="B41" s="337">
        <v>100</v>
      </c>
      <c r="C41" s="337">
        <v>100</v>
      </c>
      <c r="D41" s="337">
        <v>100</v>
      </c>
      <c r="E41" s="337">
        <v>100</v>
      </c>
      <c r="F41" s="337">
        <v>100</v>
      </c>
      <c r="G41" s="337">
        <v>100</v>
      </c>
      <c r="H41" s="337">
        <v>100</v>
      </c>
      <c r="I41" s="340" t="s">
        <v>191</v>
      </c>
      <c r="J41" s="339"/>
      <c r="K41" s="338" t="s">
        <v>192</v>
      </c>
    </row>
    <row r="42" spans="1:11" x14ac:dyDescent="0.3">
      <c r="A42" s="341"/>
      <c r="B42" s="342"/>
      <c r="C42" s="342"/>
      <c r="D42" s="342"/>
      <c r="E42" s="342"/>
      <c r="F42" s="342"/>
      <c r="G42" s="342"/>
      <c r="H42" s="342"/>
      <c r="I42" s="339" t="s">
        <v>193</v>
      </c>
      <c r="J42" s="339"/>
      <c r="K42" s="338" t="s">
        <v>194</v>
      </c>
    </row>
    <row r="44" spans="1:11" x14ac:dyDescent="0.3">
      <c r="A44" s="343" t="s">
        <v>395</v>
      </c>
      <c r="B44" s="344">
        <f t="shared" ref="B44" si="14">B10</f>
        <v>0.25</v>
      </c>
      <c r="C44" s="344">
        <f t="shared" ref="C44:G44" si="15">C10</f>
        <v>7.0000000000000007E-2</v>
      </c>
      <c r="D44" s="344">
        <f t="shared" si="15"/>
        <v>7.0000000000000007E-2</v>
      </c>
      <c r="E44" s="344">
        <f t="shared" si="15"/>
        <v>0.05</v>
      </c>
      <c r="F44" s="344">
        <f t="shared" si="15"/>
        <v>0.05</v>
      </c>
      <c r="G44" s="344">
        <f t="shared" si="15"/>
        <v>0.25</v>
      </c>
      <c r="H44" s="344">
        <f>H10</f>
        <v>0.125</v>
      </c>
    </row>
    <row r="45" spans="1:11" x14ac:dyDescent="0.3">
      <c r="A45" s="343" t="s">
        <v>180</v>
      </c>
      <c r="B45" s="344">
        <f t="shared" ref="B45" si="16">B11</f>
        <v>1</v>
      </c>
      <c r="C45" s="344">
        <f t="shared" ref="C45:G45" si="17">C11</f>
        <v>1</v>
      </c>
      <c r="D45" s="344">
        <f t="shared" si="17"/>
        <v>1</v>
      </c>
      <c r="E45" s="344">
        <f t="shared" si="17"/>
        <v>1</v>
      </c>
      <c r="F45" s="344">
        <f t="shared" si="17"/>
        <v>1</v>
      </c>
      <c r="G45" s="344">
        <f t="shared" si="17"/>
        <v>1</v>
      </c>
      <c r="H45" s="344">
        <f>H11</f>
        <v>1</v>
      </c>
    </row>
    <row r="46" spans="1:11" x14ac:dyDescent="0.3">
      <c r="A46" s="343" t="s">
        <v>412</v>
      </c>
      <c r="B46" s="332">
        <f t="shared" ref="B46:C46" si="18">B44*B45</f>
        <v>0.25</v>
      </c>
      <c r="C46" s="332">
        <f t="shared" si="18"/>
        <v>7.0000000000000007E-2</v>
      </c>
      <c r="D46" s="332">
        <f t="shared" ref="D46" si="19">D44*D45</f>
        <v>7.0000000000000007E-2</v>
      </c>
      <c r="E46" s="332">
        <f t="shared" ref="E46" si="20">E44*E45</f>
        <v>0.05</v>
      </c>
      <c r="F46" s="332">
        <f t="shared" ref="F46" si="21">F44*F45</f>
        <v>0.05</v>
      </c>
      <c r="G46" s="332">
        <f t="shared" ref="G46" si="22">G44*G45</f>
        <v>0.25</v>
      </c>
      <c r="H46" s="332">
        <f>H44*H45</f>
        <v>0.125</v>
      </c>
      <c r="I46" s="308" t="s">
        <v>195</v>
      </c>
      <c r="K46" s="308" t="s">
        <v>196</v>
      </c>
    </row>
    <row r="47" spans="1:11" x14ac:dyDescent="0.3">
      <c r="A47" s="333" t="s">
        <v>197</v>
      </c>
      <c r="B47" s="334">
        <v>100</v>
      </c>
      <c r="C47" s="334">
        <v>100</v>
      </c>
      <c r="D47" s="334">
        <v>100</v>
      </c>
      <c r="E47" s="334">
        <v>100</v>
      </c>
      <c r="F47" s="334">
        <v>100</v>
      </c>
      <c r="G47" s="334">
        <v>100</v>
      </c>
      <c r="H47" s="334">
        <v>100</v>
      </c>
      <c r="I47" s="335" t="s">
        <v>198</v>
      </c>
      <c r="J47" s="335"/>
      <c r="K47" s="335" t="str">
        <f>A47</f>
        <v>maximaal aantal punten (ongewogen) voor: levensduurverlenging</v>
      </c>
    </row>
    <row r="48" spans="1:11" x14ac:dyDescent="0.3">
      <c r="A48" s="308" t="str">
        <f>I48</f>
        <v>Levensduurverlenging is niet systematisch onderzocht in project/gebied</v>
      </c>
      <c r="B48" s="337">
        <v>0</v>
      </c>
      <c r="C48" s="337">
        <v>0</v>
      </c>
      <c r="D48" s="337">
        <v>0</v>
      </c>
      <c r="E48" s="337">
        <v>0</v>
      </c>
      <c r="F48" s="337">
        <v>0</v>
      </c>
      <c r="G48" s="337">
        <v>0</v>
      </c>
      <c r="H48" s="337">
        <v>0</v>
      </c>
      <c r="I48" s="339" t="s">
        <v>151</v>
      </c>
      <c r="J48" s="339"/>
      <c r="K48" s="338" t="s">
        <v>199</v>
      </c>
    </row>
    <row r="49" spans="1:11" x14ac:dyDescent="0.3">
      <c r="A49" s="308" t="str">
        <f t="shared" ref="A49:A52" si="23">I49</f>
        <v>Levensduurverlenging is systematisch onderzocht (10-R); implementatie onzeker of &lt;50% van de haalbare maatregelen</v>
      </c>
      <c r="B49" s="337">
        <v>25</v>
      </c>
      <c r="C49" s="337">
        <v>25</v>
      </c>
      <c r="D49" s="337">
        <v>25</v>
      </c>
      <c r="E49" s="337">
        <v>25</v>
      </c>
      <c r="F49" s="337">
        <v>25</v>
      </c>
      <c r="G49" s="337">
        <v>25</v>
      </c>
      <c r="H49" s="337">
        <v>25</v>
      </c>
      <c r="I49" s="339" t="s">
        <v>306</v>
      </c>
      <c r="J49" s="339"/>
      <c r="K49" s="338" t="s">
        <v>200</v>
      </c>
    </row>
    <row r="50" spans="1:11" x14ac:dyDescent="0.3">
      <c r="A50" s="308" t="str">
        <f t="shared" si="23"/>
        <v>Levensduurverlenging is systematisch onderzocht (10-R); &gt;50% van de haalbare maatregelen geïmplementeerd</v>
      </c>
      <c r="B50" s="337">
        <v>50</v>
      </c>
      <c r="C50" s="337">
        <v>50</v>
      </c>
      <c r="D50" s="337">
        <v>50</v>
      </c>
      <c r="E50" s="337">
        <v>50</v>
      </c>
      <c r="F50" s="337">
        <v>50</v>
      </c>
      <c r="G50" s="337">
        <v>50</v>
      </c>
      <c r="H50" s="337">
        <v>50</v>
      </c>
      <c r="I50" s="339" t="s">
        <v>307</v>
      </c>
      <c r="J50" s="339"/>
      <c r="K50" s="338" t="s">
        <v>201</v>
      </c>
    </row>
    <row r="51" spans="1:11" x14ac:dyDescent="0.3">
      <c r="A51" s="308" t="str">
        <f t="shared" si="23"/>
        <v>Levensduurverlenging is systematisch onderzocht (10-R); &gt;80% van de haalbare maatregelen geïmplementeerd</v>
      </c>
      <c r="B51" s="337">
        <v>75</v>
      </c>
      <c r="C51" s="337">
        <v>75</v>
      </c>
      <c r="D51" s="337">
        <v>75</v>
      </c>
      <c r="E51" s="337">
        <v>75</v>
      </c>
      <c r="F51" s="337">
        <v>75</v>
      </c>
      <c r="G51" s="337">
        <v>75</v>
      </c>
      <c r="H51" s="337">
        <v>75</v>
      </c>
      <c r="I51" s="339" t="s">
        <v>308</v>
      </c>
      <c r="J51" s="339"/>
      <c r="K51" s="338" t="s">
        <v>202</v>
      </c>
    </row>
    <row r="52" spans="1:11" x14ac:dyDescent="0.3">
      <c r="A52" s="308" t="str">
        <f t="shared" si="23"/>
        <v>Levensduurverlenging is systematisch onderzocht (10-R); &gt;80% van de maatregelen op het hoogst realistische 10-R niveau geïmplementeerd</v>
      </c>
      <c r="B52" s="337">
        <v>100</v>
      </c>
      <c r="C52" s="337">
        <v>100</v>
      </c>
      <c r="D52" s="337">
        <v>100</v>
      </c>
      <c r="E52" s="337">
        <v>100</v>
      </c>
      <c r="F52" s="337">
        <v>100</v>
      </c>
      <c r="G52" s="337">
        <v>100</v>
      </c>
      <c r="H52" s="337">
        <v>100</v>
      </c>
      <c r="I52" s="339" t="s">
        <v>309</v>
      </c>
      <c r="J52" s="339"/>
      <c r="K52" s="338" t="s">
        <v>203</v>
      </c>
    </row>
    <row r="53" spans="1:11" x14ac:dyDescent="0.3">
      <c r="A53" s="341"/>
      <c r="B53" s="342"/>
      <c r="C53" s="342"/>
      <c r="D53" s="342"/>
      <c r="E53" s="342"/>
      <c r="F53" s="342"/>
      <c r="G53" s="342"/>
      <c r="H53" s="342"/>
      <c r="I53" s="339" t="s">
        <v>204</v>
      </c>
      <c r="J53" s="339"/>
      <c r="K53" s="338" t="s">
        <v>194</v>
      </c>
    </row>
    <row r="54" spans="1:11" x14ac:dyDescent="0.3">
      <c r="I54" s="339"/>
      <c r="J54" s="339"/>
      <c r="K54" s="339"/>
    </row>
    <row r="55" spans="1:11" x14ac:dyDescent="0.3">
      <c r="A55" s="343" t="s">
        <v>396</v>
      </c>
      <c r="B55" s="344">
        <f t="shared" ref="B55" si="24">B12</f>
        <v>0.13</v>
      </c>
      <c r="C55" s="344">
        <f t="shared" ref="C55:G55" si="25">C12</f>
        <v>7.0000000000000007E-2</v>
      </c>
      <c r="D55" s="344">
        <f t="shared" si="25"/>
        <v>0.15</v>
      </c>
      <c r="E55" s="344">
        <f t="shared" si="25"/>
        <v>0.2</v>
      </c>
      <c r="F55" s="344">
        <f t="shared" si="25"/>
        <v>0.25</v>
      </c>
      <c r="G55" s="344">
        <f t="shared" si="25"/>
        <v>0.2</v>
      </c>
      <c r="H55" s="344">
        <f>H12</f>
        <v>0.125</v>
      </c>
      <c r="I55" s="339"/>
      <c r="J55" s="339"/>
      <c r="K55" s="339"/>
    </row>
    <row r="56" spans="1:11" x14ac:dyDescent="0.3">
      <c r="A56" s="343" t="s">
        <v>180</v>
      </c>
      <c r="B56" s="344">
        <f t="shared" ref="B56" si="26">B13</f>
        <v>0.6</v>
      </c>
      <c r="C56" s="344">
        <f t="shared" ref="C56:G56" si="27">C13</f>
        <v>0.4</v>
      </c>
      <c r="D56" s="344">
        <f t="shared" si="27"/>
        <v>0.4</v>
      </c>
      <c r="E56" s="344">
        <f t="shared" si="27"/>
        <v>0.3</v>
      </c>
      <c r="F56" s="344">
        <f t="shared" si="27"/>
        <v>0.2</v>
      </c>
      <c r="G56" s="344">
        <f t="shared" si="27"/>
        <v>0.2</v>
      </c>
      <c r="H56" s="344">
        <f>H13</f>
        <v>0.4</v>
      </c>
    </row>
    <row r="57" spans="1:11" x14ac:dyDescent="0.3">
      <c r="A57" s="343" t="s">
        <v>411</v>
      </c>
      <c r="B57" s="332">
        <f t="shared" ref="B57:C57" si="28">B55*B56</f>
        <v>7.8E-2</v>
      </c>
      <c r="C57" s="332">
        <f t="shared" si="28"/>
        <v>2.8000000000000004E-2</v>
      </c>
      <c r="D57" s="332">
        <f t="shared" ref="D57" si="29">D55*D56</f>
        <v>0.06</v>
      </c>
      <c r="E57" s="332">
        <f t="shared" ref="E57" si="30">E55*E56</f>
        <v>0.06</v>
      </c>
      <c r="F57" s="332">
        <f t="shared" ref="F57" si="31">F55*F56</f>
        <v>0.05</v>
      </c>
      <c r="G57" s="332">
        <f t="shared" ref="G57" si="32">G55*G56</f>
        <v>4.0000000000000008E-2</v>
      </c>
      <c r="H57" s="332">
        <f>H55*H56</f>
        <v>0.05</v>
      </c>
      <c r="I57" s="308" t="s">
        <v>205</v>
      </c>
      <c r="K57" s="308" t="s">
        <v>205</v>
      </c>
    </row>
    <row r="58" spans="1:11" x14ac:dyDescent="0.3">
      <c r="A58" s="333" t="s">
        <v>206</v>
      </c>
      <c r="B58" s="334">
        <v>100</v>
      </c>
      <c r="C58" s="334">
        <v>100</v>
      </c>
      <c r="D58" s="334">
        <v>100</v>
      </c>
      <c r="E58" s="334">
        <v>100</v>
      </c>
      <c r="F58" s="334">
        <v>100</v>
      </c>
      <c r="G58" s="334">
        <v>100</v>
      </c>
      <c r="H58" s="334">
        <v>100</v>
      </c>
      <c r="I58" s="335" t="s">
        <v>207</v>
      </c>
      <c r="J58" s="345"/>
      <c r="K58" s="335" t="str">
        <f>A58</f>
        <v>maximaal aantal punten (ongewogen) voor: restwaardehergebruik</v>
      </c>
    </row>
    <row r="59" spans="1:11" x14ac:dyDescent="0.3">
      <c r="A59" s="308" t="str">
        <f>I59</f>
        <v>Restwaarden binnen/buiten het projectgebied niet of beperkt in kaart gebracht</v>
      </c>
      <c r="B59" s="337">
        <v>0</v>
      </c>
      <c r="C59" s="337">
        <v>0</v>
      </c>
      <c r="D59" s="337">
        <v>0</v>
      </c>
      <c r="E59" s="337">
        <v>0</v>
      </c>
      <c r="F59" s="337">
        <v>0</v>
      </c>
      <c r="G59" s="337">
        <v>0</v>
      </c>
      <c r="H59" s="337">
        <v>0</v>
      </c>
      <c r="I59" s="339" t="s">
        <v>208</v>
      </c>
      <c r="J59" s="339"/>
      <c r="K59" s="338" t="s">
        <v>209</v>
      </c>
    </row>
    <row r="60" spans="1:11" x14ac:dyDescent="0.3">
      <c r="A60" s="308" t="str">
        <f t="shared" ref="A60:A63" si="33">I60</f>
        <v>Restwaarden in kaart gebracht (10-R)</v>
      </c>
      <c r="B60" s="337">
        <v>25</v>
      </c>
      <c r="C60" s="337">
        <v>25</v>
      </c>
      <c r="D60" s="337">
        <v>25</v>
      </c>
      <c r="E60" s="337">
        <v>25</v>
      </c>
      <c r="F60" s="337">
        <v>25</v>
      </c>
      <c r="G60" s="337">
        <v>25</v>
      </c>
      <c r="H60" s="337">
        <v>25</v>
      </c>
      <c r="I60" s="339" t="s">
        <v>210</v>
      </c>
      <c r="J60" s="339"/>
      <c r="K60" s="338" t="s">
        <v>211</v>
      </c>
    </row>
    <row r="61" spans="1:11" x14ac:dyDescent="0.3">
      <c r="A61" s="308" t="str">
        <f t="shared" si="33"/>
        <v>Restwaarden in kaart gebracht (10-R); toepassingen in het project/gebied zijn onderzocht</v>
      </c>
      <c r="B61" s="337">
        <v>50</v>
      </c>
      <c r="C61" s="337">
        <v>50</v>
      </c>
      <c r="D61" s="337">
        <v>50</v>
      </c>
      <c r="E61" s="337">
        <v>50</v>
      </c>
      <c r="F61" s="337">
        <v>50</v>
      </c>
      <c r="G61" s="337">
        <v>50</v>
      </c>
      <c r="H61" s="337">
        <v>50</v>
      </c>
      <c r="I61" s="339" t="s">
        <v>76</v>
      </c>
      <c r="J61" s="339"/>
      <c r="K61" s="338" t="s">
        <v>212</v>
      </c>
    </row>
    <row r="62" spans="1:11" x14ac:dyDescent="0.3">
      <c r="A62" s="308" t="str">
        <f t="shared" si="33"/>
        <v>Restwaarden in kaart gebracht (10-R); toepassingen zijn onderzocht; haalbare alternatieven zijn geïmplementeerd</v>
      </c>
      <c r="B62" s="337">
        <v>75</v>
      </c>
      <c r="C62" s="337">
        <v>75</v>
      </c>
      <c r="D62" s="337">
        <v>75</v>
      </c>
      <c r="E62" s="337">
        <v>75</v>
      </c>
      <c r="F62" s="337">
        <v>75</v>
      </c>
      <c r="G62" s="337">
        <v>75</v>
      </c>
      <c r="H62" s="337">
        <v>75</v>
      </c>
      <c r="I62" s="339" t="s">
        <v>152</v>
      </c>
      <c r="J62" s="339"/>
      <c r="K62" s="338" t="s">
        <v>213</v>
      </c>
    </row>
    <row r="63" spans="1:11" x14ac:dyDescent="0.3">
      <c r="A63" s="308" t="str">
        <f t="shared" si="33"/>
        <v>Restwaarden in kaart gebracht (10-R); toepassingen zijn onderzocht; &gt;80% van de maatregelen zijn geïmplementeerd op het maximaal realistische 10-R niveau</v>
      </c>
      <c r="B63" s="337">
        <v>100</v>
      </c>
      <c r="C63" s="337">
        <v>100</v>
      </c>
      <c r="D63" s="337">
        <v>100</v>
      </c>
      <c r="E63" s="337">
        <v>100</v>
      </c>
      <c r="F63" s="337">
        <v>100</v>
      </c>
      <c r="G63" s="337">
        <v>100</v>
      </c>
      <c r="H63" s="337">
        <v>100</v>
      </c>
      <c r="I63" s="339" t="s">
        <v>214</v>
      </c>
      <c r="J63" s="339"/>
      <c r="K63" s="338" t="s">
        <v>215</v>
      </c>
    </row>
    <row r="64" spans="1:11" x14ac:dyDescent="0.3">
      <c r="A64" s="341"/>
      <c r="B64" s="342"/>
      <c r="C64" s="342"/>
      <c r="D64" s="342"/>
      <c r="E64" s="342"/>
      <c r="F64" s="342"/>
      <c r="G64" s="342"/>
      <c r="H64" s="342"/>
      <c r="I64" s="339" t="s">
        <v>204</v>
      </c>
      <c r="J64" s="339"/>
      <c r="K64" s="338" t="s">
        <v>194</v>
      </c>
    </row>
    <row r="65" spans="1:11" x14ac:dyDescent="0.3">
      <c r="K65" s="339"/>
    </row>
    <row r="66" spans="1:11" x14ac:dyDescent="0.3">
      <c r="A66" s="343" t="s">
        <v>396</v>
      </c>
      <c r="B66" s="344">
        <f t="shared" ref="B66" si="34">B12</f>
        <v>0.13</v>
      </c>
      <c r="C66" s="344">
        <f t="shared" ref="C66:G66" si="35">C12</f>
        <v>7.0000000000000007E-2</v>
      </c>
      <c r="D66" s="344">
        <f t="shared" si="35"/>
        <v>0.15</v>
      </c>
      <c r="E66" s="344">
        <f t="shared" si="35"/>
        <v>0.2</v>
      </c>
      <c r="F66" s="344">
        <f t="shared" si="35"/>
        <v>0.25</v>
      </c>
      <c r="G66" s="344">
        <f t="shared" si="35"/>
        <v>0.2</v>
      </c>
      <c r="H66" s="344">
        <f>H12</f>
        <v>0.125</v>
      </c>
      <c r="K66" s="339"/>
    </row>
    <row r="67" spans="1:11" x14ac:dyDescent="0.3">
      <c r="A67" s="343" t="s">
        <v>216</v>
      </c>
      <c r="B67" s="344">
        <f t="shared" ref="B67" si="36">B14</f>
        <v>0.1</v>
      </c>
      <c r="C67" s="344">
        <f t="shared" ref="C67:G67" si="37">C14</f>
        <v>0.4</v>
      </c>
      <c r="D67" s="344">
        <f t="shared" si="37"/>
        <v>0.4</v>
      </c>
      <c r="E67" s="344">
        <f t="shared" si="37"/>
        <v>0.6</v>
      </c>
      <c r="F67" s="344">
        <f t="shared" si="37"/>
        <v>0.7</v>
      </c>
      <c r="G67" s="344">
        <f t="shared" si="37"/>
        <v>0.7</v>
      </c>
      <c r="H67" s="344">
        <f>H14</f>
        <v>0.4</v>
      </c>
    </row>
    <row r="68" spans="1:11" x14ac:dyDescent="0.3">
      <c r="A68" s="343" t="s">
        <v>410</v>
      </c>
      <c r="B68" s="332">
        <f t="shared" ref="B68:C68" si="38">B66*B67</f>
        <v>1.3000000000000001E-2</v>
      </c>
      <c r="C68" s="332">
        <f t="shared" si="38"/>
        <v>2.8000000000000004E-2</v>
      </c>
      <c r="D68" s="332">
        <f t="shared" ref="D68" si="39">D66*D67</f>
        <v>0.06</v>
      </c>
      <c r="E68" s="332">
        <f t="shared" ref="E68" si="40">E66*E67</f>
        <v>0.12</v>
      </c>
      <c r="F68" s="332">
        <f t="shared" ref="F68" si="41">F66*F67</f>
        <v>0.17499999999999999</v>
      </c>
      <c r="G68" s="332">
        <f t="shared" ref="G68" si="42">G66*G67</f>
        <v>0.13999999999999999</v>
      </c>
      <c r="H68" s="332">
        <f>H66*H67</f>
        <v>0.05</v>
      </c>
      <c r="I68" s="308" t="s">
        <v>217</v>
      </c>
      <c r="K68" s="308" t="s">
        <v>217</v>
      </c>
    </row>
    <row r="69" spans="1:11" x14ac:dyDescent="0.3">
      <c r="A69" s="333" t="s">
        <v>218</v>
      </c>
      <c r="B69" s="334">
        <v>100</v>
      </c>
      <c r="C69" s="334">
        <v>100</v>
      </c>
      <c r="D69" s="334">
        <v>100</v>
      </c>
      <c r="E69" s="334">
        <v>100</v>
      </c>
      <c r="F69" s="334">
        <v>100</v>
      </c>
      <c r="G69" s="334">
        <v>100</v>
      </c>
      <c r="H69" s="334">
        <v>100</v>
      </c>
      <c r="I69" s="335" t="s">
        <v>219</v>
      </c>
      <c r="J69" s="345"/>
      <c r="K69" s="335" t="str">
        <f>A69</f>
        <v>maximaal aantal punten (ongewogen) voor: materialendatabank</v>
      </c>
    </row>
    <row r="70" spans="1:11" x14ac:dyDescent="0.3">
      <c r="A70" s="308" t="str">
        <f>I70</f>
        <v>Raadpleging van één of meer materialen(data)banken is niet overwogen voor het project</v>
      </c>
      <c r="B70" s="337">
        <v>0</v>
      </c>
      <c r="C70" s="337">
        <v>0</v>
      </c>
      <c r="D70" s="337">
        <v>0</v>
      </c>
      <c r="E70" s="337">
        <v>0</v>
      </c>
      <c r="F70" s="337">
        <v>0</v>
      </c>
      <c r="G70" s="337">
        <v>0</v>
      </c>
      <c r="H70" s="337">
        <v>0</v>
      </c>
      <c r="I70" s="339" t="s">
        <v>80</v>
      </c>
      <c r="J70" s="339"/>
      <c r="K70" s="338" t="s">
        <v>220</v>
      </c>
    </row>
    <row r="71" spans="1:11" x14ac:dyDescent="0.3">
      <c r="A71" s="308" t="str">
        <f t="shared" ref="A71:A74" si="43">I71</f>
        <v>&gt; 1 materialendatabank geraadpleegd voor het project</v>
      </c>
      <c r="B71" s="337">
        <v>25</v>
      </c>
      <c r="C71" s="337">
        <v>25</v>
      </c>
      <c r="D71" s="337">
        <v>25</v>
      </c>
      <c r="E71" s="337">
        <v>25</v>
      </c>
      <c r="F71" s="337">
        <v>25</v>
      </c>
      <c r="G71" s="337">
        <v>25</v>
      </c>
      <c r="H71" s="337">
        <v>25</v>
      </c>
      <c r="I71" s="339" t="s">
        <v>221</v>
      </c>
      <c r="J71" s="339"/>
      <c r="K71" s="338" t="s">
        <v>222</v>
      </c>
    </row>
    <row r="72" spans="1:11" x14ac:dyDescent="0.3">
      <c r="A72" s="308" t="str">
        <f t="shared" si="43"/>
        <v>&gt; 1 materialendatabank geraadpleegd; verkennende studie aanbodgestuurd ontwerpen is uitgevoerd</v>
      </c>
      <c r="B72" s="337">
        <v>50</v>
      </c>
      <c r="C72" s="337">
        <v>50</v>
      </c>
      <c r="D72" s="337">
        <v>50</v>
      </c>
      <c r="E72" s="337">
        <v>50</v>
      </c>
      <c r="F72" s="337">
        <v>50</v>
      </c>
      <c r="G72" s="337">
        <v>50</v>
      </c>
      <c r="H72" s="337">
        <v>50</v>
      </c>
      <c r="I72" s="339" t="s">
        <v>223</v>
      </c>
      <c r="J72" s="339"/>
      <c r="K72" s="338" t="s">
        <v>224</v>
      </c>
    </row>
    <row r="73" spans="1:11" x14ac:dyDescent="0.3">
      <c r="A73" s="308" t="str">
        <f t="shared" si="43"/>
        <v>&gt; 1 materialendatabank geraadpleegd; aanbodgestuurd ontwerpen gedegen bestudeerd; haalbare maatregelen zijn geïmplementeerd</v>
      </c>
      <c r="B73" s="337">
        <v>75</v>
      </c>
      <c r="C73" s="337">
        <v>75</v>
      </c>
      <c r="D73" s="337">
        <v>75</v>
      </c>
      <c r="E73" s="337">
        <v>75</v>
      </c>
      <c r="F73" s="337">
        <v>75</v>
      </c>
      <c r="G73" s="337">
        <v>75</v>
      </c>
      <c r="H73" s="337">
        <v>75</v>
      </c>
      <c r="I73" s="339" t="s">
        <v>225</v>
      </c>
      <c r="J73" s="339"/>
      <c r="K73" s="338" t="s">
        <v>226</v>
      </c>
    </row>
    <row r="74" spans="1:11" x14ac:dyDescent="0.3">
      <c r="A74" s="308" t="str">
        <f t="shared" si="43"/>
        <v>&gt; 1 materialendatabank geraadpleegd; aanbodgestuurd ontwerpen gedegen bestudeerd; &gt;80% van de maatregelen geïmplementeerd op het max. realistische 10-R niveau</v>
      </c>
      <c r="B74" s="337">
        <v>100</v>
      </c>
      <c r="C74" s="337">
        <v>100</v>
      </c>
      <c r="D74" s="337">
        <v>100</v>
      </c>
      <c r="E74" s="337">
        <v>100</v>
      </c>
      <c r="F74" s="337">
        <v>100</v>
      </c>
      <c r="G74" s="337">
        <v>100</v>
      </c>
      <c r="H74" s="337">
        <v>100</v>
      </c>
      <c r="I74" s="339" t="s">
        <v>227</v>
      </c>
      <c r="J74" s="339"/>
      <c r="K74" s="338" t="s">
        <v>228</v>
      </c>
    </row>
    <row r="75" spans="1:11" x14ac:dyDescent="0.3">
      <c r="A75" s="341"/>
      <c r="B75" s="342"/>
      <c r="C75" s="342"/>
      <c r="D75" s="342"/>
      <c r="E75" s="342"/>
      <c r="F75" s="342"/>
      <c r="G75" s="342"/>
      <c r="H75" s="342"/>
      <c r="I75" s="339" t="s">
        <v>204</v>
      </c>
      <c r="J75" s="339"/>
      <c r="K75" s="338" t="s">
        <v>194</v>
      </c>
    </row>
    <row r="76" spans="1:11" x14ac:dyDescent="0.3">
      <c r="K76" s="339"/>
    </row>
    <row r="77" spans="1:11" x14ac:dyDescent="0.3">
      <c r="A77" s="343" t="s">
        <v>396</v>
      </c>
      <c r="B77" s="344">
        <f t="shared" ref="B77" si="44">B12</f>
        <v>0.13</v>
      </c>
      <c r="C77" s="344">
        <f t="shared" ref="C77:G77" si="45">C12</f>
        <v>7.0000000000000007E-2</v>
      </c>
      <c r="D77" s="344">
        <f t="shared" si="45"/>
        <v>0.15</v>
      </c>
      <c r="E77" s="344">
        <f t="shared" si="45"/>
        <v>0.2</v>
      </c>
      <c r="F77" s="344">
        <f t="shared" si="45"/>
        <v>0.25</v>
      </c>
      <c r="G77" s="344">
        <f t="shared" si="45"/>
        <v>0.2</v>
      </c>
      <c r="H77" s="344">
        <f>H12</f>
        <v>0.125</v>
      </c>
      <c r="K77" s="339"/>
    </row>
    <row r="78" spans="1:11" x14ac:dyDescent="0.3">
      <c r="A78" s="343" t="s">
        <v>229</v>
      </c>
      <c r="B78" s="344">
        <f t="shared" ref="B78" si="46">B15</f>
        <v>0.3</v>
      </c>
      <c r="C78" s="344">
        <f t="shared" ref="C78:G78" si="47">C15</f>
        <v>0.2</v>
      </c>
      <c r="D78" s="344">
        <f t="shared" si="47"/>
        <v>0.2</v>
      </c>
      <c r="E78" s="344">
        <f t="shared" si="47"/>
        <v>0.1</v>
      </c>
      <c r="F78" s="344">
        <f t="shared" si="47"/>
        <v>0.1</v>
      </c>
      <c r="G78" s="344">
        <f t="shared" si="47"/>
        <v>0.1</v>
      </c>
      <c r="H78" s="344">
        <f>H15</f>
        <v>0.2</v>
      </c>
    </row>
    <row r="79" spans="1:11" x14ac:dyDescent="0.3">
      <c r="A79" s="343" t="s">
        <v>409</v>
      </c>
      <c r="B79" s="332">
        <f t="shared" ref="B79:C79" si="48">B77*B78</f>
        <v>3.9E-2</v>
      </c>
      <c r="C79" s="332">
        <f t="shared" si="48"/>
        <v>1.4000000000000002E-2</v>
      </c>
      <c r="D79" s="332">
        <f t="shared" ref="D79" si="49">D77*D78</f>
        <v>0.03</v>
      </c>
      <c r="E79" s="332">
        <f t="shared" ref="E79" si="50">E77*E78</f>
        <v>2.0000000000000004E-2</v>
      </c>
      <c r="F79" s="332">
        <f t="shared" ref="F79" si="51">F77*F78</f>
        <v>2.5000000000000001E-2</v>
      </c>
      <c r="G79" s="332">
        <f t="shared" ref="G79" si="52">G77*G78</f>
        <v>2.0000000000000004E-2</v>
      </c>
      <c r="H79" s="332">
        <f>H77*H78</f>
        <v>2.5000000000000001E-2</v>
      </c>
      <c r="I79" s="308" t="s">
        <v>230</v>
      </c>
      <c r="K79" s="308" t="s">
        <v>230</v>
      </c>
    </row>
    <row r="80" spans="1:11" x14ac:dyDescent="0.3">
      <c r="A80" s="333" t="s">
        <v>231</v>
      </c>
      <c r="B80" s="334">
        <v>100</v>
      </c>
      <c r="C80" s="334">
        <v>100</v>
      </c>
      <c r="D80" s="334">
        <v>100</v>
      </c>
      <c r="E80" s="334">
        <v>100</v>
      </c>
      <c r="F80" s="334">
        <v>100</v>
      </c>
      <c r="G80" s="334">
        <v>100</v>
      </c>
      <c r="H80" s="334">
        <v>100</v>
      </c>
      <c r="I80" s="335" t="s">
        <v>232</v>
      </c>
      <c r="J80" s="345"/>
      <c r="K80" s="335" t="str">
        <f>A80</f>
        <v>maximaal aantal punten (ongewogen) voor: natuurlijke processen</v>
      </c>
    </row>
    <row r="81" spans="1:11" x14ac:dyDescent="0.3">
      <c r="A81" s="308" t="str">
        <f>I81</f>
        <v>(Kansen voor) inzet van aanwezige natuurlijke processen zijn niet specifiek onderzocht voor het project</v>
      </c>
      <c r="B81" s="337">
        <v>0</v>
      </c>
      <c r="C81" s="337">
        <v>0</v>
      </c>
      <c r="D81" s="337">
        <v>0</v>
      </c>
      <c r="E81" s="337">
        <v>0</v>
      </c>
      <c r="F81" s="337">
        <v>0</v>
      </c>
      <c r="G81" s="337">
        <v>0</v>
      </c>
      <c r="H81" s="337">
        <v>0</v>
      </c>
      <c r="I81" s="339" t="s">
        <v>233</v>
      </c>
      <c r="J81" s="339"/>
      <c r="K81" s="338" t="s">
        <v>234</v>
      </c>
    </row>
    <row r="82" spans="1:11" x14ac:dyDescent="0.3">
      <c r="A82" s="308" t="str">
        <f t="shared" ref="A82:A85" si="53">I82</f>
        <v>Kansen voor inzet van natuurlijke processen zijn onderzocht voor alleen het project</v>
      </c>
      <c r="B82" s="337">
        <v>25</v>
      </c>
      <c r="C82" s="337">
        <v>25</v>
      </c>
      <c r="D82" s="337">
        <v>25</v>
      </c>
      <c r="E82" s="337">
        <v>25</v>
      </c>
      <c r="F82" s="337">
        <v>25</v>
      </c>
      <c r="G82" s="337">
        <v>25</v>
      </c>
      <c r="H82" s="337">
        <v>25</v>
      </c>
      <c r="I82" s="339" t="s">
        <v>235</v>
      </c>
      <c r="J82" s="339"/>
      <c r="K82" s="338" t="s">
        <v>236</v>
      </c>
    </row>
    <row r="83" spans="1:11" x14ac:dyDescent="0.3">
      <c r="A83" s="308" t="str">
        <f t="shared" si="53"/>
        <v>Kansen voor inzet natuurlijke processen zijn onderzocht voor het project&amp;gebied (omgeving)</v>
      </c>
      <c r="B83" s="337">
        <v>50</v>
      </c>
      <c r="C83" s="337">
        <v>50</v>
      </c>
      <c r="D83" s="337">
        <v>50</v>
      </c>
      <c r="E83" s="337">
        <v>50</v>
      </c>
      <c r="F83" s="337">
        <v>50</v>
      </c>
      <c r="G83" s="337">
        <v>50</v>
      </c>
      <c r="H83" s="337">
        <v>50</v>
      </c>
      <c r="I83" s="339" t="s">
        <v>84</v>
      </c>
      <c r="J83" s="339"/>
      <c r="K83" s="338" t="s">
        <v>237</v>
      </c>
    </row>
    <row r="84" spans="1:11" x14ac:dyDescent="0.3">
      <c r="A84" s="308" t="str">
        <f t="shared" si="53"/>
        <v>Kansen voor inzet natuurlijke processen zijn onderzocht voor het project&amp;gebied; haalbaarheidsstudie uitgevoerd</v>
      </c>
      <c r="B84" s="337">
        <v>75</v>
      </c>
      <c r="C84" s="337">
        <v>75</v>
      </c>
      <c r="D84" s="337">
        <v>75</v>
      </c>
      <c r="E84" s="337">
        <v>75</v>
      </c>
      <c r="F84" s="337">
        <v>75</v>
      </c>
      <c r="G84" s="337">
        <v>75</v>
      </c>
      <c r="H84" s="337">
        <v>75</v>
      </c>
      <c r="I84" s="339" t="s">
        <v>238</v>
      </c>
      <c r="J84" s="339"/>
      <c r="K84" s="338" t="s">
        <v>239</v>
      </c>
    </row>
    <row r="85" spans="1:11" x14ac:dyDescent="0.3">
      <c r="A85" s="308" t="str">
        <f t="shared" si="53"/>
        <v>Kansen voor inzet natuurlijke processen zijn onderzocht voor het project&amp;gebied;haalbaarheidsstudie uitgevoerd; &gt;80% van de haalbare maatregelen geïmplementeerd</v>
      </c>
      <c r="B85" s="337">
        <v>100</v>
      </c>
      <c r="C85" s="337">
        <v>100</v>
      </c>
      <c r="D85" s="337">
        <v>100</v>
      </c>
      <c r="E85" s="337">
        <v>100</v>
      </c>
      <c r="F85" s="337">
        <v>100</v>
      </c>
      <c r="G85" s="337">
        <v>100</v>
      </c>
      <c r="H85" s="337">
        <v>100</v>
      </c>
      <c r="I85" s="339" t="s">
        <v>153</v>
      </c>
      <c r="J85" s="339"/>
      <c r="K85" s="338" t="s">
        <v>240</v>
      </c>
    </row>
    <row r="86" spans="1:11" x14ac:dyDescent="0.3">
      <c r="A86" s="341"/>
      <c r="B86" s="342"/>
      <c r="C86" s="342"/>
      <c r="D86" s="342"/>
      <c r="E86" s="342"/>
      <c r="F86" s="342"/>
      <c r="G86" s="342"/>
      <c r="H86" s="342"/>
      <c r="I86" s="339" t="s">
        <v>204</v>
      </c>
      <c r="J86" s="339"/>
      <c r="K86" s="338" t="s">
        <v>194</v>
      </c>
    </row>
    <row r="88" spans="1:11" x14ac:dyDescent="0.3">
      <c r="A88" s="343" t="s">
        <v>397</v>
      </c>
      <c r="B88" s="344">
        <f t="shared" ref="B88" si="54">B16</f>
        <v>0.05</v>
      </c>
      <c r="C88" s="344">
        <f t="shared" ref="C88:G88" si="55">C16</f>
        <v>7.0000000000000007E-2</v>
      </c>
      <c r="D88" s="344">
        <f t="shared" si="55"/>
        <v>0.1</v>
      </c>
      <c r="E88" s="344">
        <f t="shared" si="55"/>
        <v>0.1</v>
      </c>
      <c r="F88" s="344">
        <f t="shared" si="55"/>
        <v>0.15</v>
      </c>
      <c r="G88" s="344">
        <f t="shared" si="55"/>
        <v>0.15</v>
      </c>
      <c r="H88" s="344">
        <f>H16</f>
        <v>0.125</v>
      </c>
      <c r="K88" s="339"/>
    </row>
    <row r="89" spans="1:11" x14ac:dyDescent="0.3">
      <c r="A89" s="343" t="s">
        <v>180</v>
      </c>
      <c r="B89" s="344">
        <f t="shared" ref="B89" si="56">B17</f>
        <v>0.9</v>
      </c>
      <c r="C89" s="344">
        <f t="shared" ref="C89:G89" si="57">C17</f>
        <v>0.9</v>
      </c>
      <c r="D89" s="344">
        <f t="shared" si="57"/>
        <v>0.9</v>
      </c>
      <c r="E89" s="344">
        <f t="shared" si="57"/>
        <v>0.8</v>
      </c>
      <c r="F89" s="344">
        <f t="shared" si="57"/>
        <v>0.5</v>
      </c>
      <c r="G89" s="344">
        <f t="shared" si="57"/>
        <v>0.5</v>
      </c>
      <c r="H89" s="344">
        <f>H17</f>
        <v>0.9</v>
      </c>
    </row>
    <row r="90" spans="1:11" x14ac:dyDescent="0.3">
      <c r="A90" s="343" t="s">
        <v>408</v>
      </c>
      <c r="B90" s="332">
        <f t="shared" ref="B90:C90" si="58">B88*B89</f>
        <v>4.5000000000000005E-2</v>
      </c>
      <c r="C90" s="332">
        <f t="shared" si="58"/>
        <v>6.3000000000000014E-2</v>
      </c>
      <c r="D90" s="332">
        <f t="shared" ref="D90" si="59">D88*D89</f>
        <v>9.0000000000000011E-2</v>
      </c>
      <c r="E90" s="332">
        <f t="shared" ref="E90" si="60">E88*E89</f>
        <v>8.0000000000000016E-2</v>
      </c>
      <c r="F90" s="332">
        <f t="shared" ref="F90" si="61">F88*F89</f>
        <v>7.4999999999999997E-2</v>
      </c>
      <c r="G90" s="332">
        <f t="shared" ref="G90" si="62">G88*G89</f>
        <v>7.4999999999999997E-2</v>
      </c>
      <c r="H90" s="332">
        <f>H88*H89</f>
        <v>0.1125</v>
      </c>
      <c r="I90" s="308" t="s">
        <v>241</v>
      </c>
      <c r="K90" s="308" t="s">
        <v>241</v>
      </c>
    </row>
    <row r="91" spans="1:11" x14ac:dyDescent="0.3">
      <c r="A91" s="333" t="s">
        <v>242</v>
      </c>
      <c r="B91" s="334">
        <v>100</v>
      </c>
      <c r="C91" s="334">
        <v>100</v>
      </c>
      <c r="D91" s="334">
        <v>100</v>
      </c>
      <c r="E91" s="334">
        <v>100</v>
      </c>
      <c r="F91" s="334">
        <v>100</v>
      </c>
      <c r="G91" s="334">
        <v>100</v>
      </c>
      <c r="H91" s="334">
        <v>100</v>
      </c>
      <c r="I91" s="335" t="s">
        <v>243</v>
      </c>
      <c r="J91" s="345"/>
      <c r="K91" s="335" t="str">
        <f>A91</f>
        <v>maximaal aantal punten (ongewogen) voor: herbruikbaarheid eindelevensduur</v>
      </c>
    </row>
    <row r="92" spans="1:11" x14ac:dyDescent="0.3">
      <c r="A92" s="308" t="str">
        <f>I92</f>
        <v>Herbruikbaarheid van materialen, etc. na einde levensduur is niet onderzocht</v>
      </c>
      <c r="B92" s="337">
        <v>0</v>
      </c>
      <c r="C92" s="337">
        <v>0</v>
      </c>
      <c r="D92" s="337">
        <v>0</v>
      </c>
      <c r="E92" s="337">
        <v>0</v>
      </c>
      <c r="F92" s="337">
        <v>0</v>
      </c>
      <c r="G92" s="337">
        <v>0</v>
      </c>
      <c r="H92" s="337">
        <v>0</v>
      </c>
      <c r="I92" s="339" t="s">
        <v>244</v>
      </c>
      <c r="J92" s="339"/>
      <c r="K92" s="338" t="s">
        <v>245</v>
      </c>
    </row>
    <row r="93" spans="1:11" x14ac:dyDescent="0.3">
      <c r="A93" s="308" t="str">
        <f t="shared" ref="A93:A96" si="63">I93</f>
        <v>Herbruikbaarheid van materialen, etc. na einde levensduur is systematisch onderzocht</v>
      </c>
      <c r="B93" s="337">
        <v>25</v>
      </c>
      <c r="C93" s="337">
        <v>25</v>
      </c>
      <c r="D93" s="337">
        <v>25</v>
      </c>
      <c r="E93" s="337">
        <v>25</v>
      </c>
      <c r="F93" s="337">
        <v>25</v>
      </c>
      <c r="G93" s="337">
        <v>25</v>
      </c>
      <c r="H93" s="337">
        <v>25</v>
      </c>
      <c r="I93" s="339" t="s">
        <v>154</v>
      </c>
      <c r="J93" s="339"/>
      <c r="K93" s="338" t="s">
        <v>246</v>
      </c>
    </row>
    <row r="94" spans="1:11" x14ac:dyDescent="0.3">
      <c r="A94" s="308" t="str">
        <f t="shared" si="63"/>
        <v>Herbruikbaarheid van materialen, etc. is aangetoond op basis van duurzame materiaalkeuze en detaillering van verbindingen (losmaakbaarheid)</v>
      </c>
      <c r="B94" s="337">
        <v>50</v>
      </c>
      <c r="C94" s="337">
        <v>50</v>
      </c>
      <c r="D94" s="337">
        <v>50</v>
      </c>
      <c r="E94" s="337">
        <v>50</v>
      </c>
      <c r="F94" s="337">
        <v>50</v>
      </c>
      <c r="G94" s="337">
        <v>50</v>
      </c>
      <c r="H94" s="337">
        <v>50</v>
      </c>
      <c r="I94" s="339" t="s">
        <v>247</v>
      </c>
      <c r="J94" s="339"/>
      <c r="K94" s="338" t="s">
        <v>248</v>
      </c>
    </row>
    <row r="95" spans="1:11" x14ac:dyDescent="0.3">
      <c r="A95" s="308" t="str">
        <f t="shared" si="63"/>
        <v>Herbruikbaarheid van materialen, etc. is aangetoond op basis van duurzame materiaalkeuze, detaillering van verbindingen (losmaakbaarheid) en kwantiteit</v>
      </c>
      <c r="B95" s="337">
        <v>75</v>
      </c>
      <c r="C95" s="337">
        <v>75</v>
      </c>
      <c r="D95" s="337">
        <v>75</v>
      </c>
      <c r="E95" s="337">
        <v>75</v>
      </c>
      <c r="F95" s="337">
        <v>75</v>
      </c>
      <c r="G95" s="337">
        <v>75</v>
      </c>
      <c r="H95" s="337">
        <v>75</v>
      </c>
      <c r="I95" s="339" t="s">
        <v>90</v>
      </c>
      <c r="J95" s="339"/>
      <c r="K95" s="338" t="s">
        <v>249</v>
      </c>
    </row>
    <row r="96" spans="1:11" x14ac:dyDescent="0.3">
      <c r="A96" s="308" t="str">
        <f t="shared" si="63"/>
        <v>Mogelijke inzet van materialen+hoeveelheden na einde levensduur is onderzocht op basis van 10-R en waar mogelijk verwerkt in materialenpaspoort</v>
      </c>
      <c r="B96" s="337">
        <v>100</v>
      </c>
      <c r="C96" s="337">
        <v>100</v>
      </c>
      <c r="D96" s="337">
        <v>100</v>
      </c>
      <c r="E96" s="337">
        <v>100</v>
      </c>
      <c r="F96" s="337">
        <v>100</v>
      </c>
      <c r="G96" s="337">
        <v>100</v>
      </c>
      <c r="H96" s="337">
        <v>100</v>
      </c>
      <c r="I96" s="339" t="s">
        <v>250</v>
      </c>
      <c r="J96" s="339"/>
      <c r="K96" s="338" t="s">
        <v>251</v>
      </c>
    </row>
    <row r="97" spans="1:11" x14ac:dyDescent="0.3">
      <c r="A97" s="341"/>
      <c r="B97" s="342"/>
      <c r="C97" s="342"/>
      <c r="D97" s="342"/>
      <c r="E97" s="342"/>
      <c r="F97" s="342"/>
      <c r="G97" s="342"/>
      <c r="H97" s="342"/>
      <c r="I97" s="339" t="s">
        <v>204</v>
      </c>
      <c r="J97" s="339"/>
      <c r="K97" s="338" t="s">
        <v>194</v>
      </c>
    </row>
    <row r="98" spans="1:11" x14ac:dyDescent="0.3">
      <c r="K98" s="339"/>
    </row>
    <row r="99" spans="1:11" x14ac:dyDescent="0.3">
      <c r="A99" s="343" t="s">
        <v>397</v>
      </c>
      <c r="B99" s="344">
        <f t="shared" ref="B99" si="64">B16</f>
        <v>0.05</v>
      </c>
      <c r="C99" s="344">
        <f t="shared" ref="C99:G99" si="65">C16</f>
        <v>7.0000000000000007E-2</v>
      </c>
      <c r="D99" s="344">
        <f t="shared" si="65"/>
        <v>0.1</v>
      </c>
      <c r="E99" s="344">
        <f t="shared" si="65"/>
        <v>0.1</v>
      </c>
      <c r="F99" s="344">
        <f t="shared" si="65"/>
        <v>0.15</v>
      </c>
      <c r="G99" s="344">
        <f t="shared" si="65"/>
        <v>0.15</v>
      </c>
      <c r="H99" s="344">
        <f>H16</f>
        <v>0.125</v>
      </c>
      <c r="K99" s="339"/>
    </row>
    <row r="100" spans="1:11" x14ac:dyDescent="0.3">
      <c r="A100" s="343" t="s">
        <v>216</v>
      </c>
      <c r="B100" s="344">
        <f t="shared" ref="B100" si="66">B18</f>
        <v>0.1</v>
      </c>
      <c r="C100" s="344">
        <f t="shared" ref="C100:G100" si="67">C18</f>
        <v>0.1</v>
      </c>
      <c r="D100" s="344">
        <f t="shared" si="67"/>
        <v>0.1</v>
      </c>
      <c r="E100" s="344">
        <f t="shared" si="67"/>
        <v>0.2</v>
      </c>
      <c r="F100" s="344">
        <f t="shared" si="67"/>
        <v>0.5</v>
      </c>
      <c r="G100" s="344">
        <f t="shared" si="67"/>
        <v>0.5</v>
      </c>
      <c r="H100" s="344">
        <f>H18</f>
        <v>0.1</v>
      </c>
    </row>
    <row r="101" spans="1:11" x14ac:dyDescent="0.3">
      <c r="A101" s="343" t="s">
        <v>407</v>
      </c>
      <c r="B101" s="332">
        <f t="shared" ref="B101:C101" si="68">B99*B100</f>
        <v>5.000000000000001E-3</v>
      </c>
      <c r="C101" s="332">
        <f t="shared" si="68"/>
        <v>7.000000000000001E-3</v>
      </c>
      <c r="D101" s="332">
        <f t="shared" ref="D101" si="69">D99*D100</f>
        <v>1.0000000000000002E-2</v>
      </c>
      <c r="E101" s="332">
        <f t="shared" ref="E101" si="70">E99*E100</f>
        <v>2.0000000000000004E-2</v>
      </c>
      <c r="F101" s="332">
        <f t="shared" ref="F101" si="71">F99*F100</f>
        <v>7.4999999999999997E-2</v>
      </c>
      <c r="G101" s="332">
        <f t="shared" ref="G101" si="72">G99*G100</f>
        <v>7.4999999999999997E-2</v>
      </c>
      <c r="H101" s="332">
        <f>H99*H100</f>
        <v>1.2500000000000001E-2</v>
      </c>
      <c r="I101" s="308" t="s">
        <v>252</v>
      </c>
      <c r="K101" s="308" t="s">
        <v>252</v>
      </c>
    </row>
    <row r="102" spans="1:11" x14ac:dyDescent="0.3">
      <c r="A102" s="333" t="s">
        <v>253</v>
      </c>
      <c r="B102" s="334">
        <v>100</v>
      </c>
      <c r="C102" s="334">
        <v>100</v>
      </c>
      <c r="D102" s="334">
        <v>100</v>
      </c>
      <c r="E102" s="334">
        <v>100</v>
      </c>
      <c r="F102" s="334">
        <v>100</v>
      </c>
      <c r="G102" s="334">
        <v>100</v>
      </c>
      <c r="H102" s="334">
        <v>100</v>
      </c>
      <c r="I102" s="335" t="s">
        <v>254</v>
      </c>
      <c r="J102" s="335"/>
      <c r="K102" s="335" t="str">
        <f>A102</f>
        <v>maximaal aantal punten (ongewogen) voor: materialenpaspoort</v>
      </c>
    </row>
    <row r="103" spans="1:11" x14ac:dyDescent="0.3">
      <c r="A103" s="308" t="str">
        <f>I103</f>
        <v>Er is geen materialenpaspoort opgesteld voor toegepaste materialen in het project</v>
      </c>
      <c r="B103" s="337">
        <v>0</v>
      </c>
      <c r="C103" s="337">
        <v>0</v>
      </c>
      <c r="D103" s="337">
        <v>0</v>
      </c>
      <c r="E103" s="337">
        <v>0</v>
      </c>
      <c r="F103" s="337">
        <v>0</v>
      </c>
      <c r="G103" s="337">
        <v>0</v>
      </c>
      <c r="H103" s="337">
        <v>0</v>
      </c>
      <c r="I103" s="339" t="s">
        <v>255</v>
      </c>
      <c r="J103" s="339"/>
      <c r="K103" s="338" t="s">
        <v>256</v>
      </c>
    </row>
    <row r="104" spans="1:11" x14ac:dyDescent="0.3">
      <c r="A104" s="308" t="str">
        <f t="shared" ref="A104:A107" si="73">I104</f>
        <v>Een aanzet voor het materialenpaspoort (+/- 15%). Er is nog geen beeld over het gebruik van de materialen na einde levensduur</v>
      </c>
      <c r="B104" s="337">
        <v>25</v>
      </c>
      <c r="C104" s="337">
        <v>25</v>
      </c>
      <c r="D104" s="337">
        <v>25</v>
      </c>
      <c r="E104" s="337">
        <v>25</v>
      </c>
      <c r="F104" s="337">
        <v>25</v>
      </c>
      <c r="G104" s="337">
        <v>25</v>
      </c>
      <c r="H104" s="337">
        <v>25</v>
      </c>
      <c r="I104" s="339" t="s">
        <v>257</v>
      </c>
      <c r="J104" s="339"/>
      <c r="K104" s="338" t="s">
        <v>258</v>
      </c>
    </row>
    <row r="105" spans="1:11" x14ac:dyDescent="0.3">
      <c r="A105" s="308" t="str">
        <f t="shared" si="73"/>
        <v>Tenminste 50% van de materialen zijn opgenomen in een materialenpaspoort. &gt;80% daarvan heeft een bestemming voor hergebruik na einde levensduur</v>
      </c>
      <c r="B105" s="337">
        <v>50</v>
      </c>
      <c r="C105" s="337">
        <v>50</v>
      </c>
      <c r="D105" s="337">
        <v>50</v>
      </c>
      <c r="E105" s="337">
        <v>50</v>
      </c>
      <c r="F105" s="337">
        <v>50</v>
      </c>
      <c r="G105" s="337">
        <v>50</v>
      </c>
      <c r="H105" s="337">
        <v>50</v>
      </c>
      <c r="I105" s="339" t="s">
        <v>259</v>
      </c>
      <c r="J105" s="339"/>
      <c r="K105" s="338" t="s">
        <v>260</v>
      </c>
    </row>
    <row r="106" spans="1:11" x14ac:dyDescent="0.3">
      <c r="A106" s="308" t="str">
        <f t="shared" si="73"/>
        <v>Tenminste 80% van de materialen zijn opgenomen in een  materialenpaspoort. &gt;80% daarvan heeft een bestemming voor hergebruik na einde levensduur</v>
      </c>
      <c r="B106" s="337">
        <v>75</v>
      </c>
      <c r="C106" s="337">
        <v>75</v>
      </c>
      <c r="D106" s="337">
        <v>75</v>
      </c>
      <c r="E106" s="337">
        <v>75</v>
      </c>
      <c r="F106" s="337">
        <v>75</v>
      </c>
      <c r="G106" s="337">
        <v>75</v>
      </c>
      <c r="H106" s="337">
        <v>75</v>
      </c>
      <c r="I106" s="339" t="s">
        <v>92</v>
      </c>
      <c r="J106" s="339"/>
      <c r="K106" s="338" t="s">
        <v>261</v>
      </c>
    </row>
    <row r="107" spans="1:11" x14ac:dyDescent="0.3">
      <c r="A107" s="308" t="str">
        <f t="shared" si="73"/>
        <v>Alle materialen zijn opgenomen in een materialenpaspoort. &gt; 80% daarvan heeft een bestemming voor hergebruik na einde levensduur</v>
      </c>
      <c r="B107" s="337">
        <v>100</v>
      </c>
      <c r="C107" s="337">
        <v>100</v>
      </c>
      <c r="D107" s="337">
        <v>100</v>
      </c>
      <c r="E107" s="337">
        <v>100</v>
      </c>
      <c r="F107" s="337">
        <v>100</v>
      </c>
      <c r="G107" s="337">
        <v>100</v>
      </c>
      <c r="H107" s="337">
        <v>100</v>
      </c>
      <c r="I107" s="339" t="s">
        <v>262</v>
      </c>
      <c r="J107" s="339"/>
      <c r="K107" s="338" t="s">
        <v>263</v>
      </c>
    </row>
    <row r="108" spans="1:11" x14ac:dyDescent="0.3">
      <c r="A108" s="341"/>
      <c r="B108" s="342"/>
      <c r="C108" s="342"/>
      <c r="D108" s="342"/>
      <c r="E108" s="342"/>
      <c r="F108" s="342"/>
      <c r="G108" s="342"/>
      <c r="H108" s="342"/>
      <c r="I108" s="339" t="s">
        <v>204</v>
      </c>
      <c r="J108" s="339"/>
      <c r="K108" s="338" t="s">
        <v>194</v>
      </c>
    </row>
    <row r="109" spans="1:11" x14ac:dyDescent="0.3">
      <c r="K109" s="339"/>
    </row>
    <row r="110" spans="1:11" x14ac:dyDescent="0.3">
      <c r="A110" s="343" t="s">
        <v>398</v>
      </c>
      <c r="B110" s="344">
        <f t="shared" ref="B110" si="74">B19</f>
        <v>0.15</v>
      </c>
      <c r="C110" s="344">
        <f t="shared" ref="C110:G110" si="75">C19</f>
        <v>0.1</v>
      </c>
      <c r="D110" s="344">
        <f t="shared" si="75"/>
        <v>0.1</v>
      </c>
      <c r="E110" s="344">
        <f t="shared" si="75"/>
        <v>0.05</v>
      </c>
      <c r="F110" s="344">
        <f t="shared" si="75"/>
        <v>0.05</v>
      </c>
      <c r="G110" s="344">
        <f t="shared" si="75"/>
        <v>0.05</v>
      </c>
      <c r="H110" s="344">
        <f>H19</f>
        <v>0.125</v>
      </c>
      <c r="K110" s="339"/>
    </row>
    <row r="111" spans="1:11" x14ac:dyDescent="0.3">
      <c r="A111" s="343" t="s">
        <v>180</v>
      </c>
      <c r="B111" s="344">
        <f t="shared" ref="B111" si="76">B20</f>
        <v>1</v>
      </c>
      <c r="C111" s="344">
        <f t="shared" ref="C111:G111" si="77">C20</f>
        <v>1</v>
      </c>
      <c r="D111" s="344">
        <f t="shared" si="77"/>
        <v>1</v>
      </c>
      <c r="E111" s="344">
        <f t="shared" si="77"/>
        <v>1</v>
      </c>
      <c r="F111" s="344">
        <f t="shared" si="77"/>
        <v>1</v>
      </c>
      <c r="G111" s="344">
        <f t="shared" si="77"/>
        <v>1</v>
      </c>
      <c r="H111" s="344">
        <f>H20</f>
        <v>1</v>
      </c>
    </row>
    <row r="112" spans="1:11" x14ac:dyDescent="0.3">
      <c r="A112" s="343" t="s">
        <v>406</v>
      </c>
      <c r="B112" s="332">
        <f t="shared" ref="B112:C112" si="78">B110*B111</f>
        <v>0.15</v>
      </c>
      <c r="C112" s="332">
        <f t="shared" si="78"/>
        <v>0.1</v>
      </c>
      <c r="D112" s="332">
        <f t="shared" ref="D112" si="79">D110*D111</f>
        <v>0.1</v>
      </c>
      <c r="E112" s="332">
        <f t="shared" ref="E112" si="80">E110*E111</f>
        <v>0.05</v>
      </c>
      <c r="F112" s="332">
        <f t="shared" ref="F112" si="81">F110*F111</f>
        <v>0.05</v>
      </c>
      <c r="G112" s="332">
        <f t="shared" ref="G112" si="82">G110*G111</f>
        <v>0.05</v>
      </c>
      <c r="H112" s="332">
        <f>H110*H111</f>
        <v>0.125</v>
      </c>
      <c r="I112" s="308" t="s">
        <v>264</v>
      </c>
      <c r="K112" s="308" t="s">
        <v>264</v>
      </c>
    </row>
    <row r="113" spans="1:11" x14ac:dyDescent="0.3">
      <c r="A113" s="333" t="s">
        <v>265</v>
      </c>
      <c r="B113" s="334">
        <v>100</v>
      </c>
      <c r="C113" s="334">
        <v>100</v>
      </c>
      <c r="D113" s="334">
        <v>100</v>
      </c>
      <c r="E113" s="334">
        <v>100</v>
      </c>
      <c r="F113" s="334">
        <v>100</v>
      </c>
      <c r="G113" s="334">
        <v>100</v>
      </c>
      <c r="H113" s="334">
        <v>100</v>
      </c>
      <c r="I113" s="335" t="s">
        <v>266</v>
      </c>
      <c r="J113" s="335"/>
      <c r="K113" s="335" t="str">
        <f>A113</f>
        <v>maximaal aantal punten (ongewogen) voor: adaptatie</v>
      </c>
    </row>
    <row r="114" spans="1:11" x14ac:dyDescent="0.3">
      <c r="A114" s="308" t="str">
        <f>I114</f>
        <v>Uitwerking projectdoelstellingen (alleen) binnen de technische-, ruimtelijke- en beleidskaders</v>
      </c>
      <c r="B114" s="337">
        <v>0</v>
      </c>
      <c r="C114" s="337">
        <v>0</v>
      </c>
      <c r="D114" s="337">
        <v>0</v>
      </c>
      <c r="E114" s="337">
        <v>0</v>
      </c>
      <c r="F114" s="337">
        <v>0</v>
      </c>
      <c r="G114" s="337">
        <v>0</v>
      </c>
      <c r="H114" s="337">
        <v>0</v>
      </c>
      <c r="I114" s="339" t="s">
        <v>155</v>
      </c>
      <c r="J114" s="339"/>
      <c r="K114" s="338" t="s">
        <v>267</v>
      </c>
    </row>
    <row r="115" spans="1:11" x14ac:dyDescent="0.3">
      <c r="A115" s="308" t="str">
        <f t="shared" ref="A115:A118" si="83">I115</f>
        <v>Uitwerking projectdoelstellingen binnen de gestelde kaders; er is ruimte voor toekomstige ontwikkelingen/klimaatverandering/natuurontwikkeling</v>
      </c>
      <c r="B115" s="337">
        <v>25</v>
      </c>
      <c r="C115" s="337">
        <v>25</v>
      </c>
      <c r="D115" s="337">
        <v>25</v>
      </c>
      <c r="E115" s="337">
        <v>25</v>
      </c>
      <c r="F115" s="337">
        <v>25</v>
      </c>
      <c r="G115" s="337">
        <v>25</v>
      </c>
      <c r="H115" s="337">
        <v>25</v>
      </c>
      <c r="I115" s="339" t="s">
        <v>268</v>
      </c>
      <c r="J115" s="339"/>
      <c r="K115" s="338" t="s">
        <v>269</v>
      </c>
    </row>
    <row r="116" spans="1:11" x14ac:dyDescent="0.3">
      <c r="A116" s="308" t="str">
        <f t="shared" si="83"/>
        <v>Uitwerking projectdoelstellingen binnen de gestelde kaders; omgeving participeert actief; ruimtereservering tbv toekomstige ontwikkelingen / klimaatverandering/natuurontwikkeling</v>
      </c>
      <c r="B116" s="337">
        <v>50</v>
      </c>
      <c r="C116" s="337">
        <v>50</v>
      </c>
      <c r="D116" s="337">
        <v>50</v>
      </c>
      <c r="E116" s="337">
        <v>50</v>
      </c>
      <c r="F116" s="337">
        <v>50</v>
      </c>
      <c r="G116" s="337">
        <v>50</v>
      </c>
      <c r="H116" s="337">
        <v>50</v>
      </c>
      <c r="I116" s="339" t="s">
        <v>270</v>
      </c>
      <c r="J116" s="339"/>
      <c r="K116" s="338" t="s">
        <v>271</v>
      </c>
    </row>
    <row r="117" spans="1:11" x14ac:dyDescent="0.3">
      <c r="A117" s="308" t="str">
        <f t="shared" si="83"/>
        <v>Gebiedsambities worden geïntegreerd; er is ruimte voor toekomstige ontwikkelingen/klimaatverandering/natuurontwikkeling</v>
      </c>
      <c r="B117" s="337">
        <v>75</v>
      </c>
      <c r="C117" s="337">
        <v>75</v>
      </c>
      <c r="D117" s="337">
        <v>75</v>
      </c>
      <c r="E117" s="337">
        <v>75</v>
      </c>
      <c r="F117" s="337">
        <v>75</v>
      </c>
      <c r="G117" s="337">
        <v>75</v>
      </c>
      <c r="H117" s="337">
        <v>75</v>
      </c>
      <c r="I117" s="339" t="s">
        <v>99</v>
      </c>
      <c r="J117" s="339"/>
      <c r="K117" s="338" t="s">
        <v>272</v>
      </c>
    </row>
    <row r="118" spans="1:11" x14ac:dyDescent="0.3">
      <c r="A118" s="308" t="str">
        <f t="shared" si="83"/>
        <v>Gebiedsambities worden geïntegreerd; geanticipeerd wordt op mogelijke toekomstige sociale, ruimtelijke, klimatologische en natuurontwikkeling</v>
      </c>
      <c r="B118" s="337">
        <v>100</v>
      </c>
      <c r="C118" s="337">
        <v>100</v>
      </c>
      <c r="D118" s="337">
        <v>100</v>
      </c>
      <c r="E118" s="337">
        <v>100</v>
      </c>
      <c r="F118" s="337">
        <v>100</v>
      </c>
      <c r="G118" s="337">
        <v>100</v>
      </c>
      <c r="H118" s="337">
        <v>100</v>
      </c>
      <c r="I118" s="339" t="s">
        <v>273</v>
      </c>
      <c r="J118" s="339"/>
      <c r="K118" s="338" t="s">
        <v>274</v>
      </c>
    </row>
    <row r="119" spans="1:11" x14ac:dyDescent="0.3">
      <c r="A119" s="341"/>
      <c r="B119" s="342"/>
      <c r="C119" s="342"/>
      <c r="D119" s="342"/>
      <c r="E119" s="342"/>
      <c r="F119" s="342"/>
      <c r="G119" s="342"/>
      <c r="H119" s="342"/>
      <c r="I119" s="339" t="s">
        <v>204</v>
      </c>
      <c r="J119" s="339"/>
      <c r="K119" s="338" t="s">
        <v>194</v>
      </c>
    </row>
    <row r="120" spans="1:11" x14ac:dyDescent="0.3">
      <c r="K120" s="339"/>
    </row>
    <row r="121" spans="1:11" x14ac:dyDescent="0.3">
      <c r="A121" s="343" t="s">
        <v>399</v>
      </c>
      <c r="B121" s="344">
        <f t="shared" ref="B121" si="84">B21</f>
        <v>0.05</v>
      </c>
      <c r="C121" s="344">
        <f t="shared" ref="C121:G121" si="85">C21</f>
        <v>7.0000000000000007E-2</v>
      </c>
      <c r="D121" s="344">
        <f t="shared" si="85"/>
        <v>0.13</v>
      </c>
      <c r="E121" s="344">
        <f t="shared" si="85"/>
        <v>0.15</v>
      </c>
      <c r="F121" s="344">
        <f t="shared" si="85"/>
        <v>0.15</v>
      </c>
      <c r="G121" s="344">
        <f t="shared" si="85"/>
        <v>0.2</v>
      </c>
      <c r="H121" s="344">
        <f>H21</f>
        <v>0.125</v>
      </c>
      <c r="K121" s="339"/>
    </row>
    <row r="122" spans="1:11" x14ac:dyDescent="0.3">
      <c r="A122" s="343" t="s">
        <v>180</v>
      </c>
      <c r="B122" s="344">
        <f t="shared" ref="B122" si="86">B22</f>
        <v>1</v>
      </c>
      <c r="C122" s="344">
        <f t="shared" ref="C122:G122" si="87">C22</f>
        <v>1</v>
      </c>
      <c r="D122" s="344">
        <f t="shared" si="87"/>
        <v>1</v>
      </c>
      <c r="E122" s="344">
        <f t="shared" si="87"/>
        <v>1</v>
      </c>
      <c r="F122" s="344">
        <f t="shared" si="87"/>
        <v>1</v>
      </c>
      <c r="G122" s="344">
        <f t="shared" si="87"/>
        <v>1</v>
      </c>
      <c r="H122" s="344">
        <f>H22</f>
        <v>1</v>
      </c>
    </row>
    <row r="123" spans="1:11" x14ac:dyDescent="0.3">
      <c r="A123" s="343" t="s">
        <v>405</v>
      </c>
      <c r="B123" s="332">
        <f t="shared" ref="B123:C123" si="88">B121*B122</f>
        <v>0.05</v>
      </c>
      <c r="C123" s="332">
        <f t="shared" si="88"/>
        <v>7.0000000000000007E-2</v>
      </c>
      <c r="D123" s="332">
        <f t="shared" ref="D123" si="89">D121*D122</f>
        <v>0.13</v>
      </c>
      <c r="E123" s="332">
        <f t="shared" ref="E123" si="90">E121*E122</f>
        <v>0.15</v>
      </c>
      <c r="F123" s="332">
        <f t="shared" ref="F123" si="91">F121*F122</f>
        <v>0.15</v>
      </c>
      <c r="G123" s="332">
        <f t="shared" ref="G123" si="92">G121*G122</f>
        <v>0.2</v>
      </c>
      <c r="H123" s="332">
        <f>H121*H122</f>
        <v>0.125</v>
      </c>
      <c r="I123" s="308" t="s">
        <v>275</v>
      </c>
      <c r="K123" s="308" t="s">
        <v>275</v>
      </c>
    </row>
    <row r="124" spans="1:11" x14ac:dyDescent="0.3">
      <c r="A124" s="333" t="s">
        <v>276</v>
      </c>
      <c r="B124" s="334">
        <v>100</v>
      </c>
      <c r="C124" s="334">
        <v>100</v>
      </c>
      <c r="D124" s="334">
        <v>100</v>
      </c>
      <c r="E124" s="334">
        <v>100</v>
      </c>
      <c r="F124" s="334">
        <v>100</v>
      </c>
      <c r="G124" s="334">
        <v>100</v>
      </c>
      <c r="H124" s="334">
        <v>100</v>
      </c>
      <c r="I124" s="335" t="s">
        <v>277</v>
      </c>
      <c r="J124" s="335"/>
      <c r="K124" s="335" t="str">
        <f>A124</f>
        <v>maximaal aantal punten (ongewogen) voor: beheeronderhoud</v>
      </c>
    </row>
    <row r="125" spans="1:11" x14ac:dyDescent="0.3">
      <c r="A125" s="308" t="str">
        <f>I125</f>
        <v>In het ontwerp wordt niet expliciet rekening gehouden met beheer- en onderhoudsaspecten</v>
      </c>
      <c r="B125" s="337">
        <v>0</v>
      </c>
      <c r="C125" s="337">
        <v>0</v>
      </c>
      <c r="D125" s="337">
        <v>0</v>
      </c>
      <c r="E125" s="337">
        <v>0</v>
      </c>
      <c r="F125" s="337">
        <v>0</v>
      </c>
      <c r="G125" s="337">
        <v>0</v>
      </c>
      <c r="H125" s="337">
        <v>0</v>
      </c>
      <c r="I125" s="339" t="s">
        <v>156</v>
      </c>
      <c r="J125" s="339"/>
      <c r="K125" s="338" t="s">
        <v>278</v>
      </c>
    </row>
    <row r="126" spans="1:11" x14ac:dyDescent="0.3">
      <c r="A126" s="308" t="str">
        <f t="shared" ref="A126:A129" si="93">I126</f>
        <v>Van het ontwerp is een berekening van de levensduurkosten (LCC) gemaakt</v>
      </c>
      <c r="B126" s="337">
        <v>25</v>
      </c>
      <c r="C126" s="337">
        <v>25</v>
      </c>
      <c r="D126" s="337">
        <v>25</v>
      </c>
      <c r="E126" s="337">
        <v>25</v>
      </c>
      <c r="F126" s="337">
        <v>25</v>
      </c>
      <c r="G126" s="337">
        <v>25</v>
      </c>
      <c r="H126" s="337">
        <v>25</v>
      </c>
      <c r="I126" s="339" t="s">
        <v>279</v>
      </c>
      <c r="J126" s="339"/>
      <c r="K126" s="338" t="s">
        <v>280</v>
      </c>
    </row>
    <row r="127" spans="1:11" x14ac:dyDescent="0.3">
      <c r="A127" s="308" t="str">
        <f t="shared" si="93"/>
        <v>LCC is onderdeel van het ontwerpproces. LCC van circulaire alternatieven zijn niet hoger dan "conventioneel" (= referentie)</v>
      </c>
      <c r="B127" s="337">
        <v>50</v>
      </c>
      <c r="C127" s="337">
        <v>50</v>
      </c>
      <c r="D127" s="337">
        <v>50</v>
      </c>
      <c r="E127" s="337">
        <v>50</v>
      </c>
      <c r="F127" s="337">
        <v>50</v>
      </c>
      <c r="G127" s="337">
        <v>50</v>
      </c>
      <c r="H127" s="337">
        <v>50</v>
      </c>
      <c r="I127" s="339" t="s">
        <v>281</v>
      </c>
      <c r="J127" s="339"/>
      <c r="K127" s="338" t="s">
        <v>282</v>
      </c>
    </row>
    <row r="128" spans="1:11" x14ac:dyDescent="0.3">
      <c r="A128" s="308" t="str">
        <f t="shared" si="93"/>
        <v>Materiaalkeuze is afgestemd op lage beheer/onderhoudskosten; LCC is afgezet tegen investeringskosten; LCC &lt; 90% x LCCconventioneel</v>
      </c>
      <c r="B128" s="337">
        <v>75</v>
      </c>
      <c r="C128" s="337">
        <v>75</v>
      </c>
      <c r="D128" s="337">
        <v>75</v>
      </c>
      <c r="E128" s="337">
        <v>75</v>
      </c>
      <c r="F128" s="337">
        <v>75</v>
      </c>
      <c r="G128" s="337">
        <v>75</v>
      </c>
      <c r="H128" s="337">
        <v>75</v>
      </c>
      <c r="I128" s="339" t="s">
        <v>105</v>
      </c>
      <c r="J128" s="339"/>
      <c r="K128" s="338" t="s">
        <v>283</v>
      </c>
    </row>
    <row r="129" spans="1:11" x14ac:dyDescent="0.3">
      <c r="A129" s="308" t="str">
        <f t="shared" si="93"/>
        <v>Materiaalkeuze is afgestemd op lage beheer/onderhoudskosten; LCC is afgezet tegen investeringskosten; LCC &lt; 80% xLCCconventioneel; optimalisatie mogelijk</v>
      </c>
      <c r="B129" s="337">
        <v>100</v>
      </c>
      <c r="C129" s="337">
        <v>100</v>
      </c>
      <c r="D129" s="337">
        <v>100</v>
      </c>
      <c r="E129" s="337">
        <v>100</v>
      </c>
      <c r="F129" s="337">
        <v>100</v>
      </c>
      <c r="G129" s="337">
        <v>100</v>
      </c>
      <c r="H129" s="337">
        <v>100</v>
      </c>
      <c r="I129" s="339" t="s">
        <v>284</v>
      </c>
      <c r="J129" s="339"/>
      <c r="K129" s="338" t="s">
        <v>285</v>
      </c>
    </row>
    <row r="130" spans="1:11" x14ac:dyDescent="0.3">
      <c r="A130" s="341"/>
      <c r="B130" s="342"/>
      <c r="C130" s="342"/>
      <c r="D130" s="342"/>
      <c r="E130" s="342"/>
      <c r="F130" s="342"/>
      <c r="G130" s="342"/>
      <c r="H130" s="342"/>
      <c r="I130" s="339" t="s">
        <v>204</v>
      </c>
      <c r="J130" s="339"/>
      <c r="K130" s="338" t="s">
        <v>194</v>
      </c>
    </row>
    <row r="131" spans="1:11" x14ac:dyDescent="0.3">
      <c r="K131" s="339"/>
    </row>
    <row r="132" spans="1:11" x14ac:dyDescent="0.3">
      <c r="A132" s="343" t="s">
        <v>400</v>
      </c>
      <c r="B132" s="344">
        <f t="shared" ref="B132" si="94">B23</f>
        <v>0.05</v>
      </c>
      <c r="C132" s="344">
        <f t="shared" ref="C132:G132" si="95">C23</f>
        <v>0.25</v>
      </c>
      <c r="D132" s="344">
        <f t="shared" si="95"/>
        <v>0.2</v>
      </c>
      <c r="E132" s="344">
        <f t="shared" si="95"/>
        <v>0.2</v>
      </c>
      <c r="F132" s="344">
        <f t="shared" si="95"/>
        <v>0.2</v>
      </c>
      <c r="G132" s="344">
        <f t="shared" si="95"/>
        <v>0.04</v>
      </c>
      <c r="H132" s="344">
        <f>H23</f>
        <v>0.125</v>
      </c>
      <c r="K132" s="339"/>
    </row>
    <row r="133" spans="1:11" x14ac:dyDescent="0.3">
      <c r="A133" s="343" t="s">
        <v>180</v>
      </c>
      <c r="B133" s="344">
        <f t="shared" ref="B133" si="96">B24</f>
        <v>0.5</v>
      </c>
      <c r="C133" s="344">
        <f t="shared" ref="C133:G133" si="97">C24</f>
        <v>0.8</v>
      </c>
      <c r="D133" s="344">
        <f t="shared" si="97"/>
        <v>0.5</v>
      </c>
      <c r="E133" s="344">
        <f t="shared" si="97"/>
        <v>0.5</v>
      </c>
      <c r="F133" s="344">
        <f t="shared" si="97"/>
        <v>0.5</v>
      </c>
      <c r="G133" s="344">
        <f t="shared" si="97"/>
        <v>0.5</v>
      </c>
      <c r="H133" s="344">
        <f>H24</f>
        <v>0.8</v>
      </c>
    </row>
    <row r="134" spans="1:11" x14ac:dyDescent="0.3">
      <c r="A134" s="343" t="s">
        <v>404</v>
      </c>
      <c r="B134" s="332">
        <f t="shared" ref="B134:C134" si="98">B132*B133</f>
        <v>2.5000000000000001E-2</v>
      </c>
      <c r="C134" s="332">
        <f t="shared" si="98"/>
        <v>0.2</v>
      </c>
      <c r="D134" s="332">
        <f t="shared" ref="D134" si="99">D132*D133</f>
        <v>0.1</v>
      </c>
      <c r="E134" s="332">
        <f t="shared" ref="E134" si="100">E132*E133</f>
        <v>0.1</v>
      </c>
      <c r="F134" s="332">
        <f t="shared" ref="F134" si="101">F132*F133</f>
        <v>0.1</v>
      </c>
      <c r="G134" s="332">
        <f t="shared" ref="G134" si="102">G132*G133</f>
        <v>0.02</v>
      </c>
      <c r="H134" s="332">
        <f>H132*H133</f>
        <v>0.1</v>
      </c>
      <c r="I134" s="308" t="s">
        <v>286</v>
      </c>
    </row>
    <row r="135" spans="1:11" x14ac:dyDescent="0.3">
      <c r="A135" s="333" t="s">
        <v>287</v>
      </c>
      <c r="B135" s="334">
        <v>100</v>
      </c>
      <c r="C135" s="334">
        <v>100</v>
      </c>
      <c r="D135" s="334">
        <v>100</v>
      </c>
      <c r="E135" s="334">
        <v>100</v>
      </c>
      <c r="F135" s="334">
        <v>100</v>
      </c>
      <c r="G135" s="334">
        <v>100</v>
      </c>
      <c r="H135" s="334">
        <v>100</v>
      </c>
      <c r="I135" s="335" t="s">
        <v>288</v>
      </c>
      <c r="J135" s="345"/>
      <c r="K135" s="335" t="str">
        <f>A135</f>
        <v>maximaal aantal punten (ongewogen) voor: MKIberekening</v>
      </c>
    </row>
    <row r="136" spans="1:11" x14ac:dyDescent="0.3">
      <c r="A136" s="308" t="str">
        <f>K136</f>
        <v>Geen speciale aandacht in proces voor materiaalarm construeren, schaarse grondstof, hergebruik materiaal, (her)gebruik hernieuwbare en sec.(grond)stoffen</v>
      </c>
      <c r="B136" s="337">
        <v>0</v>
      </c>
      <c r="C136" s="337">
        <v>0</v>
      </c>
      <c r="D136" s="337">
        <v>0</v>
      </c>
      <c r="E136" s="337">
        <v>0</v>
      </c>
      <c r="F136" s="337">
        <v>0</v>
      </c>
      <c r="G136" s="337">
        <v>0</v>
      </c>
      <c r="H136" s="337">
        <v>0</v>
      </c>
      <c r="I136" s="346" t="s">
        <v>157</v>
      </c>
      <c r="J136" s="339"/>
      <c r="K136" s="370" t="str">
        <f t="shared" ref="K136:K141" si="103">I136</f>
        <v>Geen speciale aandacht in proces voor materiaalarm construeren, schaarse grondstof, hergebruik materiaal, (her)gebruik hernieuwbare en sec.(grond)stoffen</v>
      </c>
    </row>
    <row r="137" spans="1:11" x14ac:dyDescent="0.3">
      <c r="A137" s="308" t="str">
        <f t="shared" ref="A137:A140" si="104">K137</f>
        <v>Beperkt onderzoek maar geen onderdeel afweging van materiaalarm construeren, schaarse grondstof, hergebruik materiaal, (her)gebruik hernieuwbare en sec.(grond)stoffen</v>
      </c>
      <c r="B137" s="337">
        <v>25</v>
      </c>
      <c r="C137" s="337">
        <v>25</v>
      </c>
      <c r="D137" s="337">
        <v>25</v>
      </c>
      <c r="E137" s="337">
        <v>25</v>
      </c>
      <c r="F137" s="337">
        <v>25</v>
      </c>
      <c r="G137" s="337">
        <v>25</v>
      </c>
      <c r="H137" s="337">
        <v>25</v>
      </c>
      <c r="I137" s="346" t="s">
        <v>289</v>
      </c>
      <c r="J137" s="339"/>
      <c r="K137" s="370" t="str">
        <f t="shared" si="103"/>
        <v>Beperkt onderzoek maar geen onderdeel afweging van materiaalarm construeren, schaarse grondstof, hergebruik materiaal, (her)gebruik hernieuwbare en sec.(grond)stoffen</v>
      </c>
    </row>
    <row r="138" spans="1:11" x14ac:dyDescent="0.3">
      <c r="A138" s="308" t="str">
        <f t="shared" si="104"/>
        <v>Beperkt onderzoek maar wel onderdeel van de afweging materiaalarm construeren, schaarse grondstoffen, hergebruik materiaal, (her)gebruik hernieuwbare en secundaire (grond)stoffen</v>
      </c>
      <c r="B138" s="337">
        <v>50</v>
      </c>
      <c r="C138" s="337">
        <v>50</v>
      </c>
      <c r="D138" s="337">
        <v>50</v>
      </c>
      <c r="E138" s="337">
        <v>50</v>
      </c>
      <c r="F138" s="337">
        <v>50</v>
      </c>
      <c r="G138" s="337">
        <v>50</v>
      </c>
      <c r="H138" s="337">
        <v>50</v>
      </c>
      <c r="I138" s="346" t="s">
        <v>109</v>
      </c>
      <c r="J138" s="339"/>
      <c r="K138" s="370" t="str">
        <f t="shared" si="103"/>
        <v>Beperkt onderzoek maar wel onderdeel van de afweging materiaalarm construeren, schaarse grondstoffen, hergebruik materiaal, (her)gebruik hernieuwbare en secundaire (grond)stoffen</v>
      </c>
    </row>
    <row r="139" spans="1:11" x14ac:dyDescent="0.3">
      <c r="A139" s="308" t="str">
        <f t="shared" si="104"/>
        <v>Milieuimpact obv MKI kentallen &gt; 3 alternatieven + afgewogen tav materiaalarm construeren, schaarse grondstof, hergebruik materiaal, (her)gebruik hernieuwbare/sec.(grond)stoffen</v>
      </c>
      <c r="B139" s="337">
        <v>75</v>
      </c>
      <c r="C139" s="337">
        <v>75</v>
      </c>
      <c r="D139" s="337">
        <v>75</v>
      </c>
      <c r="E139" s="337">
        <v>75</v>
      </c>
      <c r="F139" s="337">
        <v>75</v>
      </c>
      <c r="G139" s="337">
        <v>75</v>
      </c>
      <c r="H139" s="337">
        <v>75</v>
      </c>
      <c r="I139" s="346" t="s">
        <v>303</v>
      </c>
      <c r="J139" s="339"/>
      <c r="K139" s="370" t="str">
        <f t="shared" si="103"/>
        <v>Milieuimpact obv MKI kentallen &gt; 3 alternatieven + afgewogen tav materiaalarm construeren, schaarse grondstof, hergebruik materiaal, (her)gebruik hernieuwbare/sec.(grond)stoffen</v>
      </c>
    </row>
    <row r="140" spans="1:11" x14ac:dyDescent="0.3">
      <c r="A140" s="308" t="str">
        <f t="shared" si="104"/>
        <v>Milieuimpact obv DuboCalc &gt; 3 alternatieven + gedegen afweging tav materiaalarm construeren, schaarse grondstof, hergebruik materiaal, (her)gebruik hernieuwbare/sec.(grond)stoffen</v>
      </c>
      <c r="B140" s="337">
        <v>100</v>
      </c>
      <c r="C140" s="337">
        <v>100</v>
      </c>
      <c r="D140" s="337">
        <v>100</v>
      </c>
      <c r="E140" s="337">
        <v>100</v>
      </c>
      <c r="F140" s="337">
        <v>100</v>
      </c>
      <c r="G140" s="337">
        <v>100</v>
      </c>
      <c r="H140" s="337">
        <v>100</v>
      </c>
      <c r="I140" s="346" t="s">
        <v>304</v>
      </c>
      <c r="J140" s="339"/>
      <c r="K140" s="370" t="str">
        <f t="shared" si="103"/>
        <v>Milieuimpact obv DuboCalc &gt; 3 alternatieven + gedegen afweging tav materiaalarm construeren, schaarse grondstof, hergebruik materiaal, (her)gebruik hernieuwbare/sec.(grond)stoffen</v>
      </c>
    </row>
    <row r="141" spans="1:11" x14ac:dyDescent="0.3">
      <c r="A141" s="341"/>
      <c r="B141" s="342"/>
      <c r="C141" s="342"/>
      <c r="D141" s="342"/>
      <c r="E141" s="342"/>
      <c r="F141" s="342"/>
      <c r="G141" s="342"/>
      <c r="H141" s="342"/>
      <c r="I141" s="339" t="s">
        <v>204</v>
      </c>
      <c r="J141" s="339"/>
      <c r="K141" s="370" t="str">
        <f t="shared" si="103"/>
        <v>Bonus: Duurzame innovaties voor project (&gt;2030)</v>
      </c>
    </row>
    <row r="142" spans="1:11" x14ac:dyDescent="0.3">
      <c r="K142" s="339"/>
    </row>
    <row r="143" spans="1:11" x14ac:dyDescent="0.3">
      <c r="A143" s="343" t="s">
        <v>400</v>
      </c>
      <c r="B143" s="344">
        <f t="shared" ref="B143" si="105">B23</f>
        <v>0.05</v>
      </c>
      <c r="C143" s="344">
        <f t="shared" ref="C143:G143" si="106">C23</f>
        <v>0.25</v>
      </c>
      <c r="D143" s="344">
        <f t="shared" si="106"/>
        <v>0.2</v>
      </c>
      <c r="E143" s="344">
        <f t="shared" si="106"/>
        <v>0.2</v>
      </c>
      <c r="F143" s="344">
        <f t="shared" si="106"/>
        <v>0.2</v>
      </c>
      <c r="G143" s="344">
        <f t="shared" si="106"/>
        <v>0.04</v>
      </c>
      <c r="H143" s="344">
        <f>H23</f>
        <v>0.125</v>
      </c>
      <c r="K143" s="339"/>
    </row>
    <row r="144" spans="1:11" x14ac:dyDescent="0.3">
      <c r="A144" s="343" t="s">
        <v>216</v>
      </c>
      <c r="B144" s="344">
        <f t="shared" ref="B144" si="107">B25</f>
        <v>0.5</v>
      </c>
      <c r="C144" s="344">
        <f t="shared" ref="C144:G144" si="108">C25</f>
        <v>0.19999999999999996</v>
      </c>
      <c r="D144" s="344">
        <f t="shared" si="108"/>
        <v>0.5</v>
      </c>
      <c r="E144" s="344">
        <f t="shared" si="108"/>
        <v>0.5</v>
      </c>
      <c r="F144" s="344">
        <f t="shared" si="108"/>
        <v>0.5</v>
      </c>
      <c r="G144" s="344">
        <f t="shared" si="108"/>
        <v>0.5</v>
      </c>
      <c r="H144" s="344">
        <f>H25</f>
        <v>0.19999999999999996</v>
      </c>
    </row>
    <row r="145" spans="1:11" x14ac:dyDescent="0.3">
      <c r="A145" s="343" t="s">
        <v>403</v>
      </c>
      <c r="B145" s="332">
        <f t="shared" ref="B145:C145" si="109">B143*B144</f>
        <v>2.5000000000000001E-2</v>
      </c>
      <c r="C145" s="332">
        <f t="shared" si="109"/>
        <v>4.9999999999999989E-2</v>
      </c>
      <c r="D145" s="332">
        <f t="shared" ref="D145" si="110">D143*D144</f>
        <v>0.1</v>
      </c>
      <c r="E145" s="332">
        <f t="shared" ref="E145" si="111">E143*E144</f>
        <v>0.1</v>
      </c>
      <c r="F145" s="332">
        <f t="shared" ref="F145" si="112">F143*F144</f>
        <v>0.1</v>
      </c>
      <c r="G145" s="332">
        <f t="shared" ref="G145" si="113">G143*G144</f>
        <v>0.02</v>
      </c>
      <c r="H145" s="332">
        <f>H143*H144</f>
        <v>2.4999999999999994E-2</v>
      </c>
      <c r="I145" s="308" t="s">
        <v>290</v>
      </c>
      <c r="K145" s="308" t="s">
        <v>291</v>
      </c>
    </row>
    <row r="146" spans="1:11" x14ac:dyDescent="0.3">
      <c r="A146" s="333" t="s">
        <v>292</v>
      </c>
      <c r="B146" s="334">
        <v>100</v>
      </c>
      <c r="C146" s="334">
        <v>100</v>
      </c>
      <c r="D146" s="334">
        <v>100</v>
      </c>
      <c r="E146" s="334">
        <v>100</v>
      </c>
      <c r="F146" s="334">
        <v>100</v>
      </c>
      <c r="G146" s="334">
        <v>100</v>
      </c>
      <c r="H146" s="334">
        <v>100</v>
      </c>
      <c r="I146" s="335" t="s">
        <v>293</v>
      </c>
      <c r="J146" s="335"/>
      <c r="K146" s="335" t="str">
        <f>A146</f>
        <v>maximaal aantal punten (ongewogen) voor: circulariteitberekening</v>
      </c>
    </row>
    <row r="147" spans="1:11" x14ac:dyDescent="0.3">
      <c r="A147" s="308" t="str">
        <f>K147</f>
        <v>Geen speciale aandacht in proces voor circulariteit (10-R model)</v>
      </c>
      <c r="B147" s="337">
        <v>0</v>
      </c>
      <c r="C147" s="337">
        <v>0</v>
      </c>
      <c r="D147" s="337">
        <v>0</v>
      </c>
      <c r="E147" s="337">
        <v>0</v>
      </c>
      <c r="F147" s="337">
        <v>0</v>
      </c>
      <c r="G147" s="337">
        <v>0</v>
      </c>
      <c r="H147" s="337">
        <v>0</v>
      </c>
      <c r="I147" s="346" t="s">
        <v>158</v>
      </c>
      <c r="J147" s="339"/>
      <c r="K147" s="370" t="str">
        <f t="shared" ref="K147:K152" si="114">I147</f>
        <v>Geen speciale aandacht in proces voor circulariteit (10-R model)</v>
      </c>
    </row>
    <row r="148" spans="1:11" x14ac:dyDescent="0.3">
      <c r="A148" s="308" t="str">
        <f t="shared" ref="A148:A151" si="115">K148</f>
        <v>Beperkt onderzoek maar geen onderdeel afweging circulaire alternatieven per materiaalsoort (10-R model) (preventie, hergebruik, recycling, hernieuwbaar, etc)</v>
      </c>
      <c r="B148" s="337">
        <v>25</v>
      </c>
      <c r="C148" s="337">
        <v>25</v>
      </c>
      <c r="D148" s="337">
        <v>25</v>
      </c>
      <c r="E148" s="337">
        <v>25</v>
      </c>
      <c r="F148" s="337">
        <v>25</v>
      </c>
      <c r="G148" s="337">
        <v>25</v>
      </c>
      <c r="H148" s="337">
        <v>25</v>
      </c>
      <c r="I148" s="346" t="s">
        <v>294</v>
      </c>
      <c r="J148" s="339"/>
      <c r="K148" s="370" t="str">
        <f t="shared" si="114"/>
        <v>Beperkt onderzoek maar geen onderdeel afweging circulaire alternatieven per materiaalsoort (10-R model) (preventie, hergebruik, recycling, hernieuwbaar, etc)</v>
      </c>
    </row>
    <row r="149" spans="1:11" x14ac:dyDescent="0.3">
      <c r="A149" s="308" t="str">
        <f t="shared" si="115"/>
        <v>Beperkt onderzoek maar wel onderdeel van circulaire alternatieven per materiaalsoort (10-R model) (preventie, hergebruik, recycling, hernieuwbaar, etc)</v>
      </c>
      <c r="B149" s="337">
        <v>50</v>
      </c>
      <c r="C149" s="337">
        <v>50</v>
      </c>
      <c r="D149" s="337">
        <v>50</v>
      </c>
      <c r="E149" s="337">
        <v>50</v>
      </c>
      <c r="F149" s="337">
        <v>50</v>
      </c>
      <c r="G149" s="337">
        <v>50</v>
      </c>
      <c r="H149" s="337">
        <v>50</v>
      </c>
      <c r="I149" s="346" t="s">
        <v>295</v>
      </c>
      <c r="J149" s="339"/>
      <c r="K149" s="370" t="str">
        <f t="shared" si="114"/>
        <v>Beperkt onderzoek maar wel onderdeel van circulaire alternatieven per materiaalsoort (10-R model) (preventie, hergebruik, recycling, hernieuwbaar, etc)</v>
      </c>
    </row>
    <row r="150" spans="1:11" x14ac:dyDescent="0.3">
      <c r="A150" s="308" t="str">
        <f t="shared" si="115"/>
        <v>Gedegen onderzoek naar circulaire alternatieven (10-R model) + kwantificering &gt; 3 alternatieven op basis van MCI CB'23 (met gebruik van kengetallen)</v>
      </c>
      <c r="B150" s="337">
        <v>75</v>
      </c>
      <c r="C150" s="337">
        <v>75</v>
      </c>
      <c r="D150" s="337">
        <v>75</v>
      </c>
      <c r="E150" s="337">
        <v>75</v>
      </c>
      <c r="F150" s="337">
        <v>75</v>
      </c>
      <c r="G150" s="337">
        <v>75</v>
      </c>
      <c r="H150" s="337">
        <v>75</v>
      </c>
      <c r="I150" s="346" t="s">
        <v>350</v>
      </c>
      <c r="J150" s="339"/>
      <c r="K150" s="370" t="str">
        <f t="shared" si="114"/>
        <v>Gedegen onderzoek naar circulaire alternatieven (10-R model) + kwantificering &gt; 3 alternatieven op basis van MCI CB'23 (met gebruik van kengetallen)</v>
      </c>
    </row>
    <row r="151" spans="1:11" x14ac:dyDescent="0.3">
      <c r="A151" s="308" t="str">
        <f t="shared" si="115"/>
        <v>Gedegen onderzoek naar circulaire alternatieven (10-R model) + kwantificering &gt; 3 alternatieven op basis van MCI CB'23 (detailberekening)</v>
      </c>
      <c r="B151" s="337">
        <v>100</v>
      </c>
      <c r="C151" s="337">
        <v>100</v>
      </c>
      <c r="D151" s="337">
        <v>100</v>
      </c>
      <c r="E151" s="337">
        <v>100</v>
      </c>
      <c r="F151" s="337">
        <v>100</v>
      </c>
      <c r="G151" s="337">
        <v>100</v>
      </c>
      <c r="H151" s="337">
        <v>100</v>
      </c>
      <c r="I151" s="346" t="s">
        <v>349</v>
      </c>
      <c r="J151" s="339"/>
      <c r="K151" s="370" t="str">
        <f t="shared" si="114"/>
        <v>Gedegen onderzoek naar circulaire alternatieven (10-R model) + kwantificering &gt; 3 alternatieven op basis van MCI CB'23 (detailberekening)</v>
      </c>
    </row>
    <row r="152" spans="1:11" x14ac:dyDescent="0.3">
      <c r="A152" s="341"/>
      <c r="B152" s="342"/>
      <c r="C152" s="342"/>
      <c r="D152" s="342"/>
      <c r="E152" s="342"/>
      <c r="F152" s="342"/>
      <c r="G152" s="342"/>
      <c r="H152" s="342"/>
      <c r="I152" s="339" t="s">
        <v>204</v>
      </c>
      <c r="J152" s="339"/>
      <c r="K152" s="370" t="str">
        <f t="shared" si="114"/>
        <v>Bonus: Duurzame innovaties voor project (&gt;2030)</v>
      </c>
    </row>
    <row r="153" spans="1:11" x14ac:dyDescent="0.3">
      <c r="K153" s="339"/>
    </row>
    <row r="154" spans="1:11" x14ac:dyDescent="0.3">
      <c r="A154" s="343" t="s">
        <v>401</v>
      </c>
      <c r="B154" s="344">
        <f t="shared" ref="B154" si="116">B26</f>
        <v>0.02</v>
      </c>
      <c r="C154" s="344">
        <f t="shared" ref="C154:G154" si="117">C26</f>
        <v>0.1</v>
      </c>
      <c r="D154" s="344">
        <f t="shared" si="117"/>
        <v>0.1</v>
      </c>
      <c r="E154" s="344">
        <f t="shared" si="117"/>
        <v>0.1</v>
      </c>
      <c r="F154" s="344">
        <f t="shared" si="117"/>
        <v>0.1</v>
      </c>
      <c r="G154" s="344">
        <f t="shared" si="117"/>
        <v>0.1</v>
      </c>
      <c r="H154" s="344">
        <f>H26</f>
        <v>0.125</v>
      </c>
      <c r="K154" s="339"/>
    </row>
    <row r="155" spans="1:11" x14ac:dyDescent="0.3">
      <c r="A155" s="343" t="s">
        <v>180</v>
      </c>
      <c r="B155" s="344">
        <f t="shared" ref="B155" si="118">B27</f>
        <v>1</v>
      </c>
      <c r="C155" s="344">
        <f t="shared" ref="C155:G155" si="119">C27</f>
        <v>1</v>
      </c>
      <c r="D155" s="344">
        <f t="shared" si="119"/>
        <v>1</v>
      </c>
      <c r="E155" s="344">
        <f t="shared" si="119"/>
        <v>1</v>
      </c>
      <c r="F155" s="344">
        <f t="shared" si="119"/>
        <v>1</v>
      </c>
      <c r="G155" s="344">
        <f t="shared" si="119"/>
        <v>1</v>
      </c>
      <c r="H155" s="344">
        <f>H27</f>
        <v>1</v>
      </c>
    </row>
    <row r="156" spans="1:11" x14ac:dyDescent="0.3">
      <c r="A156" s="343" t="s">
        <v>402</v>
      </c>
      <c r="B156" s="332">
        <f t="shared" ref="B156:C156" si="120">B154*B155</f>
        <v>0.02</v>
      </c>
      <c r="C156" s="332">
        <f t="shared" si="120"/>
        <v>0.1</v>
      </c>
      <c r="D156" s="332">
        <f t="shared" ref="D156" si="121">D154*D155</f>
        <v>0.1</v>
      </c>
      <c r="E156" s="332">
        <f t="shared" ref="E156" si="122">E154*E155</f>
        <v>0.1</v>
      </c>
      <c r="F156" s="332">
        <f t="shared" ref="F156" si="123">F154*F155</f>
        <v>0.1</v>
      </c>
      <c r="G156" s="332">
        <f t="shared" ref="G156" si="124">G154*G155</f>
        <v>0.1</v>
      </c>
      <c r="H156" s="332">
        <f>H154*H155</f>
        <v>0.125</v>
      </c>
      <c r="I156" s="308" t="s">
        <v>296</v>
      </c>
      <c r="K156" s="308" t="s">
        <v>296</v>
      </c>
    </row>
    <row r="157" spans="1:11" x14ac:dyDescent="0.3">
      <c r="A157" s="333" t="s">
        <v>297</v>
      </c>
      <c r="B157" s="334">
        <v>100</v>
      </c>
      <c r="C157" s="334">
        <v>100</v>
      </c>
      <c r="D157" s="334">
        <v>100</v>
      </c>
      <c r="E157" s="334">
        <v>100</v>
      </c>
      <c r="F157" s="334">
        <v>100</v>
      </c>
      <c r="G157" s="334">
        <v>100</v>
      </c>
      <c r="H157" s="334">
        <v>100</v>
      </c>
      <c r="I157" s="335" t="s">
        <v>298</v>
      </c>
      <c r="J157" s="335"/>
      <c r="K157" s="335" t="str">
        <f>A157</f>
        <v>maximaal aantal punten (ongewogen) voor: CO2berekening</v>
      </c>
    </row>
    <row r="158" spans="1:11" x14ac:dyDescent="0.3">
      <c r="A158" s="308" t="str">
        <f>K158</f>
        <v>Geen speciale aandacht in proces voor beperking grondstof- en energiegebruik tijdens aanlegfase en van toekomstige gebruikers</v>
      </c>
      <c r="B158" s="337">
        <v>0</v>
      </c>
      <c r="C158" s="337">
        <v>0</v>
      </c>
      <c r="D158" s="337">
        <v>0</v>
      </c>
      <c r="E158" s="337">
        <v>0</v>
      </c>
      <c r="F158" s="337">
        <v>0</v>
      </c>
      <c r="G158" s="337">
        <v>0</v>
      </c>
      <c r="H158" s="337">
        <v>0</v>
      </c>
      <c r="I158" s="346" t="s">
        <v>159</v>
      </c>
      <c r="J158" s="339"/>
      <c r="K158" s="370" t="str">
        <f t="shared" ref="K158:K163" si="125">I158</f>
        <v>Geen speciale aandacht in proces voor beperking grondstof- en energiegebruik tijdens aanlegfase en van toekomstige gebruikers</v>
      </c>
    </row>
    <row r="159" spans="1:11" x14ac:dyDescent="0.3">
      <c r="A159" s="308" t="str">
        <f t="shared" ref="A159:A162" si="126">K159</f>
        <v>Beperkt onderzoek maar geen onderdeel afweging beperking grondstof- en energiegebruik tijdens aanlegfase en van toekomstige gebruikers + opwekking hernieuwbare energie</v>
      </c>
      <c r="B159" s="337">
        <v>25</v>
      </c>
      <c r="C159" s="337">
        <v>25</v>
      </c>
      <c r="D159" s="337">
        <v>25</v>
      </c>
      <c r="E159" s="337">
        <v>25</v>
      </c>
      <c r="F159" s="337">
        <v>25</v>
      </c>
      <c r="G159" s="337">
        <v>25</v>
      </c>
      <c r="H159" s="337">
        <v>25</v>
      </c>
      <c r="I159" s="346" t="s">
        <v>299</v>
      </c>
      <c r="J159" s="339"/>
      <c r="K159" s="370" t="str">
        <f t="shared" si="125"/>
        <v>Beperkt onderzoek maar geen onderdeel afweging beperking grondstof- en energiegebruik tijdens aanlegfase en van toekomstige gebruikers + opwekking hernieuwbare energie</v>
      </c>
    </row>
    <row r="160" spans="1:11" x14ac:dyDescent="0.3">
      <c r="A160" s="308" t="str">
        <f t="shared" si="126"/>
        <v>Beperkt onderzoek maar wel onderdeel afweging beperking grondstof- en energiegebruik tijdens aanlegfase en van toekomstige gebruikers + opwekking hernieuwbare energie</v>
      </c>
      <c r="B160" s="337">
        <v>50</v>
      </c>
      <c r="C160" s="337">
        <v>50</v>
      </c>
      <c r="D160" s="337">
        <v>50</v>
      </c>
      <c r="E160" s="337">
        <v>50</v>
      </c>
      <c r="F160" s="337">
        <v>50</v>
      </c>
      <c r="G160" s="337">
        <v>50</v>
      </c>
      <c r="H160" s="337">
        <v>50</v>
      </c>
      <c r="I160" s="346" t="s">
        <v>300</v>
      </c>
      <c r="J160" s="339"/>
      <c r="K160" s="370" t="str">
        <f t="shared" si="125"/>
        <v>Beperkt onderzoek maar wel onderdeel afweging beperking grondstof- en energiegebruik tijdens aanlegfase en van toekomstige gebruikers + opwekking hernieuwbare energie</v>
      </c>
    </row>
    <row r="161" spans="1:11" x14ac:dyDescent="0.3">
      <c r="A161" s="308" t="str">
        <f t="shared" si="126"/>
        <v>Gedegen onderzoek mogelijkheden beperking grondstof- en energiegebruik tijdens aanlegfase/gebruiksfase + opwekking hernieuwbare energie + grove kwantificering</v>
      </c>
      <c r="B161" s="337">
        <v>75</v>
      </c>
      <c r="C161" s="337">
        <v>75</v>
      </c>
      <c r="D161" s="337">
        <v>75</v>
      </c>
      <c r="E161" s="337">
        <v>75</v>
      </c>
      <c r="F161" s="337">
        <v>75</v>
      </c>
      <c r="G161" s="337">
        <v>75</v>
      </c>
      <c r="H161" s="337">
        <v>75</v>
      </c>
      <c r="I161" s="346" t="s">
        <v>113</v>
      </c>
      <c r="J161" s="339"/>
      <c r="K161" s="370" t="str">
        <f t="shared" si="125"/>
        <v>Gedegen onderzoek mogelijkheden beperking grondstof- en energiegebruik tijdens aanlegfase/gebruiksfase + opwekking hernieuwbare energie + grove kwantificering</v>
      </c>
    </row>
    <row r="162" spans="1:11" x14ac:dyDescent="0.3">
      <c r="A162" s="308" t="str">
        <f t="shared" si="126"/>
        <v>Gedegen onderzoek mogelijkheden beperking grondstof- en energiegebruik tijdens aanlegfase/gebruiksfase + opwekking hernieuwbare energie + goed onderbouwde kwantificering</v>
      </c>
      <c r="B162" s="337">
        <v>100</v>
      </c>
      <c r="C162" s="337">
        <v>100</v>
      </c>
      <c r="D162" s="337">
        <v>100</v>
      </c>
      <c r="E162" s="337">
        <v>100</v>
      </c>
      <c r="F162" s="337">
        <v>100</v>
      </c>
      <c r="G162" s="337">
        <v>100</v>
      </c>
      <c r="H162" s="337">
        <v>100</v>
      </c>
      <c r="I162" s="346" t="s">
        <v>301</v>
      </c>
      <c r="J162" s="339"/>
      <c r="K162" s="370" t="str">
        <f t="shared" si="125"/>
        <v>Gedegen onderzoek mogelijkheden beperking grondstof- en energiegebruik tijdens aanlegfase/gebruiksfase + opwekking hernieuwbare energie + goed onderbouwde kwantificering</v>
      </c>
    </row>
    <row r="163" spans="1:11" x14ac:dyDescent="0.3">
      <c r="A163" s="341"/>
      <c r="B163" s="342"/>
      <c r="C163" s="342"/>
      <c r="D163" s="342"/>
      <c r="E163" s="342"/>
      <c r="F163" s="342"/>
      <c r="G163" s="342"/>
      <c r="H163" s="342"/>
      <c r="I163" s="339" t="s">
        <v>204</v>
      </c>
      <c r="J163" s="339"/>
      <c r="K163" s="370" t="str">
        <f t="shared" si="125"/>
        <v>Bonus: Duurzame innovaties voor project (&gt;2030)</v>
      </c>
    </row>
    <row r="166" spans="1:11" x14ac:dyDescent="0.3">
      <c r="A166" s="658" t="s">
        <v>353</v>
      </c>
      <c r="B166" s="309"/>
      <c r="C166" s="309"/>
      <c r="D166" s="309"/>
      <c r="E166" s="309"/>
      <c r="F166" s="309"/>
      <c r="G166" s="309"/>
      <c r="H166" s="309"/>
    </row>
    <row r="167" spans="1:11" x14ac:dyDescent="0.3">
      <c r="A167" s="658" t="s">
        <v>352</v>
      </c>
      <c r="B167" s="309"/>
      <c r="C167" s="309"/>
      <c r="D167" s="309"/>
      <c r="E167" s="309"/>
      <c r="F167" s="309"/>
      <c r="G167" s="309"/>
      <c r="H167" s="309"/>
    </row>
    <row r="168" spans="1:11" x14ac:dyDescent="0.3">
      <c r="B168" s="347"/>
      <c r="C168" s="347"/>
      <c r="D168" s="347"/>
      <c r="E168" s="347"/>
      <c r="F168" s="347"/>
      <c r="G168" s="347"/>
      <c r="H168" s="347"/>
    </row>
    <row r="172" spans="1:11" ht="18" x14ac:dyDescent="0.35">
      <c r="A172" s="348"/>
    </row>
    <row r="173" spans="1:11" x14ac:dyDescent="0.3">
      <c r="G173" s="349"/>
      <c r="H173" s="349"/>
      <c r="I173" s="349"/>
      <c r="J173" s="349"/>
      <c r="K173" s="349"/>
    </row>
    <row r="174" spans="1:11" x14ac:dyDescent="0.3">
      <c r="G174" s="349"/>
      <c r="H174" s="349"/>
      <c r="I174" s="350" t="s">
        <v>302</v>
      </c>
      <c r="J174" s="349"/>
      <c r="K174" s="349"/>
    </row>
    <row r="175" spans="1:11" x14ac:dyDescent="0.3">
      <c r="G175" s="349"/>
      <c r="H175" s="349" t="s">
        <v>50</v>
      </c>
      <c r="I175" s="351">
        <v>1</v>
      </c>
      <c r="J175" s="349"/>
      <c r="K175" s="349"/>
    </row>
    <row r="176" spans="1:11" x14ac:dyDescent="0.3">
      <c r="G176" s="349"/>
      <c r="H176" s="349" t="s">
        <v>22</v>
      </c>
      <c r="I176" s="351">
        <v>2</v>
      </c>
      <c r="J176" s="349"/>
      <c r="K176" s="349"/>
    </row>
    <row r="177" spans="7:11" x14ac:dyDescent="0.3">
      <c r="G177" s="349"/>
      <c r="H177" s="349" t="s">
        <v>134</v>
      </c>
      <c r="I177" s="351">
        <v>3</v>
      </c>
      <c r="J177" s="349"/>
      <c r="K177" s="349"/>
    </row>
    <row r="178" spans="7:11" x14ac:dyDescent="0.3">
      <c r="G178" s="349"/>
      <c r="H178" s="349" t="s">
        <v>136</v>
      </c>
      <c r="I178" s="351">
        <v>4</v>
      </c>
      <c r="J178" s="349"/>
      <c r="K178" s="349"/>
    </row>
    <row r="179" spans="7:11" x14ac:dyDescent="0.3">
      <c r="G179" s="349"/>
      <c r="H179" s="349" t="s">
        <v>137</v>
      </c>
      <c r="I179" s="351">
        <v>5</v>
      </c>
      <c r="J179" s="349"/>
      <c r="K179" s="349"/>
    </row>
    <row r="180" spans="7:11" x14ac:dyDescent="0.3">
      <c r="G180" s="349"/>
      <c r="H180" s="349" t="s">
        <v>138</v>
      </c>
      <c r="I180" s="351">
        <v>6</v>
      </c>
      <c r="J180" s="349"/>
      <c r="K180" s="349"/>
    </row>
    <row r="181" spans="7:11" x14ac:dyDescent="0.3">
      <c r="G181" s="349"/>
      <c r="H181" s="349" t="s">
        <v>139</v>
      </c>
      <c r="I181" s="351">
        <v>7</v>
      </c>
      <c r="J181" s="349"/>
      <c r="K181" s="349"/>
    </row>
    <row r="182" spans="7:11" x14ac:dyDescent="0.3">
      <c r="G182" s="349"/>
      <c r="H182" s="349"/>
      <c r="I182" s="349"/>
      <c r="J182" s="349"/>
      <c r="K182" s="349"/>
    </row>
  </sheetData>
  <sheetProtection algorithmName="SHA-512" hashValue="OHGJkS8DWax+/ym0K3xgXaNUK/e2h56L4iKSjgnehKu7/VpAbjt0R9cryJEvje84WyfgI9dZwwGGl1Q+1ET6qQ==" saltValue="X6rxkkty0cKZZQPnFnj0zA==" spinCount="100000" sheet="1" objects="1" scenarios="1"/>
  <dataValidations count="11">
    <dataValidation type="list" allowBlank="1" showInputMessage="1" showErrorMessage="1" sqref="I37:I41" xr:uid="{4B6D2D24-3DBB-4B20-8889-4B47F1227620}">
      <formula1>$I$37:$I$41</formula1>
    </dataValidation>
    <dataValidation type="list" allowBlank="1" showInputMessage="1" showErrorMessage="1" sqref="A37:A42" xr:uid="{B8619CED-AA6C-420F-A5BC-F813C69CCBEC}">
      <formula1>$A$37:$A$41</formula1>
    </dataValidation>
    <dataValidation type="list" allowBlank="1" showInputMessage="1" showErrorMessage="1" sqref="A48:A52" xr:uid="{25B007FD-A4B1-4118-AC06-E00384DD3B18}">
      <formula1>$A$48:$A$52</formula1>
    </dataValidation>
    <dataValidation type="list" allowBlank="1" showInputMessage="1" showErrorMessage="1" sqref="A59:A63" xr:uid="{C44BC0DE-A6C3-4AEB-8935-6A64A7B64FEF}">
      <formula1>$A$59:$A$63</formula1>
    </dataValidation>
    <dataValidation type="list" allowBlank="1" showInputMessage="1" showErrorMessage="1" sqref="A70:A74" xr:uid="{9BDDBFD2-07E8-4B8C-AAE7-26C26CF9D9BE}">
      <formula1>$A$70:$A$74</formula1>
    </dataValidation>
    <dataValidation type="list" allowBlank="1" showInputMessage="1" showErrorMessage="1" sqref="A81:A85" xr:uid="{6807B729-3685-4EBF-AE3B-D5569443D16C}">
      <formula1>$A$81:$A$85</formula1>
    </dataValidation>
    <dataValidation type="list" allowBlank="1" showInputMessage="1" showErrorMessage="1" sqref="A92:A96" xr:uid="{994F9A6D-6FE1-4FD4-9303-B9E0DECCAB2C}">
      <formula1>$A$92:$A$96</formula1>
    </dataValidation>
    <dataValidation type="list" allowBlank="1" showInputMessage="1" showErrorMessage="1" sqref="A103:A107" xr:uid="{03B2AB45-7C0F-48AB-A4AF-9DB51D75D4B2}">
      <formula1>$A$103:$A$107</formula1>
    </dataValidation>
    <dataValidation type="list" allowBlank="1" showInputMessage="1" showErrorMessage="1" sqref="A114:A118" xr:uid="{EEEE7861-F1FE-457B-A2D9-88C4951A3DB2}">
      <formula1>$A$114:$A$118</formula1>
    </dataValidation>
    <dataValidation type="list" allowBlank="1" showInputMessage="1" showErrorMessage="1" sqref="A125:A129" xr:uid="{C5A2CA66-561B-4DF6-8740-09994C70B2D7}">
      <formula1>$A$125:$A$129</formula1>
    </dataValidation>
    <dataValidation type="list" allowBlank="1" showInputMessage="1" showErrorMessage="1" sqref="A136:A140 A147:A151 A158:A162" xr:uid="{67BBB2E7-8D1B-48D6-99DC-9029E376D785}">
      <formula1>$A$136:$A$140</formula1>
    </dataValidation>
  </dataValidation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EB47F76D-AB41-41F1-A154-A73698A39FBE}">
            <x14:iconSet iconSet="3Triangles">
              <x14:cfvo type="percent">
                <xm:f>0</xm:f>
              </x14:cfvo>
              <x14:cfvo type="percent">
                <xm:f>33</xm:f>
              </x14:cfvo>
              <x14:cfvo type="percent">
                <xm:f>67</xm:f>
              </x14:cfvo>
            </x14:iconSet>
          </x14:cfRule>
          <xm:sqref>H28</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7ABE1064468CF4F9D2F2137F7211A32" ma:contentTypeVersion="12" ma:contentTypeDescription="Create a new document." ma:contentTypeScope="" ma:versionID="0926b17890d9ddedbc74e546e7b59889">
  <xsd:schema xmlns:xsd="http://www.w3.org/2001/XMLSchema" xmlns:xs="http://www.w3.org/2001/XMLSchema" xmlns:p="http://schemas.microsoft.com/office/2006/metadata/properties" xmlns:ns3="dc0fb5cc-65a1-4421-9869-951de853b4b2" xmlns:ns4="95070a44-c21b-4fc7-b3d0-a3d03e66ce66" targetNamespace="http://schemas.microsoft.com/office/2006/metadata/properties" ma:root="true" ma:fieldsID="9cbcca3df177679a13b4f196c894e793" ns3:_="" ns4:_="">
    <xsd:import namespace="dc0fb5cc-65a1-4421-9869-951de853b4b2"/>
    <xsd:import namespace="95070a44-c21b-4fc7-b3d0-a3d03e66ce66"/>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4:SharedWithUsers" minOccurs="0"/>
                <xsd:element ref="ns4:SharedWithDetails" minOccurs="0"/>
                <xsd:element ref="ns4:SharingHintHash"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0fb5cc-65a1-4421-9869-951de853b4b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5070a44-c21b-4fc7-b3d0-a3d03e66ce66"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SharingHintHash" ma:index="15"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B4D4395-FA76-43B0-BFAA-1A54075B70F7}">
  <ds:schemaRefs>
    <ds:schemaRef ds:uri="http://schemas.microsoft.com/sharepoint/v3/contenttype/forms"/>
  </ds:schemaRefs>
</ds:datastoreItem>
</file>

<file path=customXml/itemProps2.xml><?xml version="1.0" encoding="utf-8"?>
<ds:datastoreItem xmlns:ds="http://schemas.openxmlformats.org/officeDocument/2006/customXml" ds:itemID="{93D1CF3F-AEAC-43AF-AC95-0F684C987F1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c0fb5cc-65a1-4421-9869-951de853b4b2"/>
    <ds:schemaRef ds:uri="95070a44-c21b-4fc7-b3d0-a3d03e66ce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BAD9570-A6C6-4A1F-BD16-F3E6246F1914}">
  <ds:schemaRefs>
    <ds:schemaRef ds:uri="http://www.w3.org/XML/1998/namespace"/>
    <ds:schemaRef ds:uri="dc0fb5cc-65a1-4421-9869-951de853b4b2"/>
    <ds:schemaRef ds:uri="http://schemas.microsoft.com/office/2006/metadata/properties"/>
    <ds:schemaRef ds:uri="http://schemas.microsoft.com/office/2006/documentManagement/types"/>
    <ds:schemaRef ds:uri="http://purl.org/dc/elements/1.1/"/>
    <ds:schemaRef ds:uri="http://purl.org/dc/dcmitype/"/>
    <ds:schemaRef ds:uri="http://purl.org/dc/terms/"/>
    <ds:schemaRef ds:uri="95070a44-c21b-4fc7-b3d0-a3d03e66ce66"/>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Werkbladen</vt:lpstr>
      </vt:variant>
      <vt:variant>
        <vt:i4>13</vt:i4>
      </vt:variant>
      <vt:variant>
        <vt:lpstr>Benoemde bereiken</vt:lpstr>
      </vt:variant>
      <vt:variant>
        <vt:i4>14</vt:i4>
      </vt:variant>
    </vt:vector>
  </HeadingPairs>
  <TitlesOfParts>
    <vt:vector size="27" baseType="lpstr">
      <vt:lpstr>intro</vt:lpstr>
      <vt:lpstr>invoer Basis</vt:lpstr>
      <vt:lpstr>print Basis</vt:lpstr>
      <vt:lpstr>info vergelijk</vt:lpstr>
      <vt:lpstr>A1</vt:lpstr>
      <vt:lpstr>B1</vt:lpstr>
      <vt:lpstr>C1</vt:lpstr>
      <vt:lpstr>D1</vt:lpstr>
      <vt:lpstr>print A1</vt:lpstr>
      <vt:lpstr>print B1</vt:lpstr>
      <vt:lpstr>print C1</vt:lpstr>
      <vt:lpstr>print D1</vt:lpstr>
      <vt:lpstr>info weging</vt:lpstr>
      <vt:lpstr>adaptatie</vt:lpstr>
      <vt:lpstr>beheeronderhoud</vt:lpstr>
      <vt:lpstr>circulariteit</vt:lpstr>
      <vt:lpstr>co2berekening</vt:lpstr>
      <vt:lpstr>herbruikbaarheid</vt:lpstr>
      <vt:lpstr>levensduurverlenging</vt:lpstr>
      <vt:lpstr>materialendatabank</vt:lpstr>
      <vt:lpstr>materialenpaspoort</vt:lpstr>
      <vt:lpstr>mki</vt:lpstr>
      <vt:lpstr>mkiberekening</vt:lpstr>
      <vt:lpstr>natuurlijkeprocessen</vt:lpstr>
      <vt:lpstr>opgaveverkleining</vt:lpstr>
      <vt:lpstr>opgverkleining</vt:lpstr>
      <vt:lpstr>restwaardehergebruik</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AWeersink|Lievense</dc:creator>
  <cp:keywords/>
  <dc:description/>
  <cp:lastModifiedBy>Annemarie Weersink</cp:lastModifiedBy>
  <cp:revision/>
  <dcterms:created xsi:type="dcterms:W3CDTF">2019-12-05T08:28:09Z</dcterms:created>
  <dcterms:modified xsi:type="dcterms:W3CDTF">2022-01-18T13:22:29Z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0x010100F7ABE1064468CF4F9D2F2137F7211A32</vt:lpwstr>
  </property>
</Properties>
</file>